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575" tabRatio="961" activeTab="0"/>
  </bookViews>
  <sheets>
    <sheet name="Titre" sheetId="1" r:id="rId1"/>
    <sheet name="Table de synthèse des tableaux" sheetId="2" r:id="rId2"/>
    <sheet name="1_Les 4 cas" sheetId="3" r:id="rId3"/>
    <sheet name="2_Recap Taux pour EMTR" sheetId="4" r:id="rId4"/>
    <sheet name="3_Synthèse calcul taux_et cfis" sheetId="5" r:id="rId5"/>
    <sheet name="4_Comp_montant_charge fiscal" sheetId="6" r:id="rId6"/>
    <sheet name="5_Calcul des montants d'impôt" sheetId="7" r:id="rId7"/>
    <sheet name="6_Recap  t' pour montant" sheetId="8" r:id="rId8"/>
    <sheet name="7_ t' pour version texte" sheetId="9" r:id="rId9"/>
    <sheet name="8_Calcul des t' avec capital" sheetId="10" r:id="rId10"/>
    <sheet name="9_Calcul des t' sans capital" sheetId="11" r:id="rId11"/>
    <sheet name="10_Recap_ tc et tk nominaux" sheetId="12" r:id="rId12"/>
    <sheet name="11_tc_Taux nominal bénéfice" sheetId="13" r:id="rId13"/>
    <sheet name="12_tk_Taux nominal capital" sheetId="14" r:id="rId14"/>
    <sheet name="13_Multiplicateurs " sheetId="15" r:id="rId15"/>
    <sheet name="14_ Données taux bénéfice" sheetId="16" r:id="rId16"/>
    <sheet name="15_Données taux capital" sheetId="17" r:id="rId17"/>
    <sheet name="16_Calcul tk pour comp cfis" sheetId="18" r:id="rId18"/>
    <sheet name="17_Texte_Base légales" sheetId="19" r:id="rId19"/>
    <sheet name="18_Législation des taux canton" sheetId="20" r:id="rId20"/>
    <sheet name="19_Législation des taux_Conf" sheetId="21" r:id="rId21"/>
    <sheet name="20_Texte2_Calcul_Canton" sheetId="22" r:id="rId22"/>
    <sheet name="21_Calcul du taux de base M1" sheetId="23" r:id="rId23"/>
    <sheet name="22_Calcul du taux de base_M2" sheetId="24" r:id="rId24"/>
    <sheet name="23_conf calcul_M1" sheetId="25" r:id="rId25"/>
    <sheet name="24_conf_Calcul_M2" sheetId="26" r:id="rId26"/>
    <sheet name="25_retrouver tb quand tk donné" sheetId="27" r:id="rId27"/>
    <sheet name="26_retrouver tk quand tc donné" sheetId="28" r:id="rId28"/>
  </sheets>
  <definedNames/>
  <calcPr fullCalcOnLoad="1"/>
</workbook>
</file>

<file path=xl/comments11.xml><?xml version="1.0" encoding="utf-8"?>
<comments xmlns="http://schemas.openxmlformats.org/spreadsheetml/2006/main">
  <authors>
    <author>col-loc_adm</author>
  </authors>
  <commentList>
    <comment ref="C19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t'f avec capital = tcf(1-tk)/(1+tc) + tkf
t'f sans capital = tcf/(1+tc)</t>
        </r>
      </text>
    </comment>
    <comment ref="C24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t'f avec capital = tcf(1-tk)/(1+tc) + tkf
t'f sans capital = tcf/(1+tc)</t>
        </r>
      </text>
    </comment>
  </commentList>
</comments>
</file>

<file path=xl/comments20.xml><?xml version="1.0" encoding="utf-8"?>
<comments xmlns="http://schemas.openxmlformats.org/spreadsheetml/2006/main">
  <authors>
    <author>col-loc_adm</author>
  </authors>
  <commentList>
    <comment ref="B5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Le taux de l'impôt dépend d'un barême progressif à 3 taux en fonction du rendement (Rapport entre les bénéfices et le capital plus les réserves.</t>
        </r>
      </text>
    </comment>
  </commentList>
</comments>
</file>

<file path=xl/comments21.xml><?xml version="1.0" encoding="utf-8"?>
<comments xmlns="http://schemas.openxmlformats.org/spreadsheetml/2006/main">
  <authors>
    <author>col-loc_adm</author>
  </authors>
  <commentList>
    <comment ref="B6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Le taux de l'impôt dépend d'un barême progressif à 3 taux en fonction du rendement (Rapport entre les bénéfices et le capital plus les réserves.</t>
        </r>
      </text>
    </comment>
  </commentList>
</comments>
</file>

<file path=xl/comments28.xml><?xml version="1.0" encoding="utf-8"?>
<comments xmlns="http://schemas.openxmlformats.org/spreadsheetml/2006/main">
  <authors>
    <author>col-loc_adm</author>
  </authors>
  <commentList>
    <comment ref="C17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Pour calculer en pourcentage du bénéfice on multiplie par 1/r</t>
        </r>
      </text>
    </comment>
    <comment ref="C19" authorId="0">
      <text>
        <r>
          <rPr>
            <b/>
            <sz val="8"/>
            <rFont val="Tahoma"/>
            <family val="0"/>
          </rPr>
          <t>col-loc_adm:</t>
        </r>
        <r>
          <rPr>
            <sz val="8"/>
            <rFont val="Tahoma"/>
            <family val="0"/>
          </rPr>
          <t xml:space="preserve">
Pour calculer en pourcentage du capital on divise par 1/r</t>
        </r>
      </text>
    </comment>
  </commentList>
</comments>
</file>

<file path=xl/sharedStrings.xml><?xml version="1.0" encoding="utf-8"?>
<sst xmlns="http://schemas.openxmlformats.org/spreadsheetml/2006/main" count="819" uniqueCount="487">
  <si>
    <t>Imposition du bénéfice et du capital</t>
  </si>
  <si>
    <t>Variable</t>
  </si>
  <si>
    <t>Taux nominaux</t>
  </si>
  <si>
    <t>Taux effectifs d'imposition (Déduction comprises)</t>
  </si>
  <si>
    <t>Modèle avec imposition du capital</t>
  </si>
  <si>
    <r>
      <t>t</t>
    </r>
    <r>
      <rPr>
        <b/>
        <vertAlign val="subscript"/>
        <sz val="12"/>
        <rFont val="Times New Roman"/>
        <family val="1"/>
      </rPr>
      <t>kf_légal</t>
    </r>
    <r>
      <rPr>
        <b/>
        <sz val="12"/>
        <rFont val="Times New Roman"/>
        <family val="1"/>
      </rPr>
      <t xml:space="preserve"> ou t</t>
    </r>
    <r>
      <rPr>
        <b/>
        <vertAlign val="subscript"/>
        <sz val="12"/>
        <rFont val="Times New Roman"/>
        <family val="1"/>
      </rPr>
      <t>kf_légal/k</t>
    </r>
  </si>
  <si>
    <t>(10) Taux d'impôt fédéral sur le capital (en pourcentage du capital)</t>
  </si>
  <si>
    <t>(11) Taux d'imposition fédéral du capital en pourcentage du bénéfice</t>
  </si>
  <si>
    <r>
      <t>t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kf_légal </t>
    </r>
    <r>
      <rPr>
        <b/>
        <sz val="12"/>
        <rFont val="Times New Roman"/>
        <family val="1"/>
      </rPr>
      <t>* 1/r</t>
    </r>
  </si>
  <si>
    <t>(12) Taux légal régional d'imposition du capital  (en pourcentage du capital)</t>
  </si>
  <si>
    <r>
      <t>t</t>
    </r>
    <r>
      <rPr>
        <b/>
        <vertAlign val="subscript"/>
        <sz val="12"/>
        <color indexed="8"/>
        <rFont val="Times New Roman"/>
        <family val="1"/>
      </rPr>
      <t>kr_légal</t>
    </r>
    <r>
      <rPr>
        <b/>
        <sz val="12"/>
        <color indexed="8"/>
        <rFont val="Times New Roman"/>
        <family val="1"/>
      </rPr>
      <t xml:space="preserve"> ou t</t>
    </r>
    <r>
      <rPr>
        <b/>
        <vertAlign val="subscript"/>
        <sz val="12"/>
        <color indexed="8"/>
        <rFont val="Times New Roman"/>
        <family val="1"/>
      </rPr>
      <t>kr_légal/k</t>
    </r>
  </si>
  <si>
    <t>(13) Taux régional d'imposition du capital en pourcentage du capital</t>
  </si>
  <si>
    <t>(14) Taux régional d'imposition du capital en pourcentage du bénéfice</t>
  </si>
  <si>
    <t>(16) Taux nominal d'imposition du capital (fédéral et régional) en pourcentage du bénéfice</t>
  </si>
  <si>
    <t>(17) Taux effectif d'imposition du bénéfice</t>
  </si>
  <si>
    <t>(18) Taux effectif d'imposition du capital pour un capital deux fois supérieur au bénéfice</t>
  </si>
  <si>
    <t>(19) Taux effectif (bénéfice et capital)</t>
  </si>
  <si>
    <t>(20) Données de la Charge fiscale</t>
  </si>
  <si>
    <t>(21) Ecart statistique dû aux arrondis</t>
  </si>
  <si>
    <r>
      <t xml:space="preserve">t' </t>
    </r>
    <r>
      <rPr>
        <b/>
        <vertAlign val="subscript"/>
        <sz val="10"/>
        <rFont val="Times New Roman"/>
        <family val="1"/>
      </rPr>
      <t>théorique</t>
    </r>
    <r>
      <rPr>
        <b/>
        <sz val="10"/>
        <rFont val="Times New Roman"/>
        <family val="1"/>
      </rPr>
      <t xml:space="preserve"> - t' </t>
    </r>
    <r>
      <rPr>
        <b/>
        <vertAlign val="subscript"/>
        <sz val="10"/>
        <rFont val="Times New Roman"/>
        <family val="1"/>
      </rPr>
      <t>charge fiscale</t>
    </r>
  </si>
  <si>
    <r>
      <t>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kr/k</t>
    </r>
    <r>
      <rPr>
        <b/>
        <sz val="12"/>
        <rFont val="Times New Roman"/>
        <family val="1"/>
      </rPr>
      <t xml:space="preserve"> * 1/r = M*t</t>
    </r>
    <r>
      <rPr>
        <b/>
        <vertAlign val="subscript"/>
        <sz val="12"/>
        <rFont val="Times New Roman"/>
        <family val="1"/>
      </rPr>
      <t>kr_légal</t>
    </r>
    <r>
      <rPr>
        <b/>
        <sz val="12"/>
        <rFont val="Times New Roman"/>
        <family val="1"/>
      </rPr>
      <t xml:space="preserve"> * 1/r</t>
    </r>
  </si>
  <si>
    <r>
      <t>t</t>
    </r>
    <r>
      <rPr>
        <b/>
        <vertAlign val="subscript"/>
        <sz val="12"/>
        <rFont val="Times New Roman"/>
        <family val="1"/>
      </rPr>
      <t>k/k=</t>
    </r>
    <r>
      <rPr>
        <b/>
        <sz val="12"/>
        <rFont val="Times New Roman"/>
        <family val="1"/>
      </rPr>
      <t xml:space="preserve"> t</t>
    </r>
    <r>
      <rPr>
        <b/>
        <vertAlign val="subscript"/>
        <sz val="12"/>
        <rFont val="Times New Roman"/>
        <family val="1"/>
      </rPr>
      <t>kf/k</t>
    </r>
    <r>
      <rPr>
        <b/>
        <sz val="12"/>
        <rFont val="Times New Roman"/>
        <family val="1"/>
      </rPr>
      <t>+ t</t>
    </r>
    <r>
      <rPr>
        <b/>
        <vertAlign val="subscript"/>
        <sz val="12"/>
        <rFont val="Times New Roman"/>
        <family val="1"/>
      </rPr>
      <t>kr/k</t>
    </r>
  </si>
  <si>
    <t>(17)Taux global d'imposition y compris impôt sur le capital en pourcentage du bénéfice</t>
  </si>
  <si>
    <t xml:space="preserve">(18) Taux effectif d'imposition des sociétés y compris l'impôt sur le capital     </t>
  </si>
  <si>
    <t xml:space="preserve">(19) Autre formulation du taux effectif d'imposition des sociétés y compris l'impôt sur le capital     </t>
  </si>
  <si>
    <t xml:space="preserve">(20) Taux effectif fédéral  d'imposition des sociétés (bénéfice et capital)                    </t>
  </si>
  <si>
    <t xml:space="preserve">(21) Autre formulation du taux effectif fédéral d'imposition des sociétés (bénéfice et capital)                    </t>
  </si>
  <si>
    <t>(22) Taux effectif fédéral d'imposition du bénéfice</t>
  </si>
  <si>
    <r>
      <t>t</t>
    </r>
    <r>
      <rPr>
        <b/>
        <vertAlign val="subscript"/>
        <sz val="12"/>
        <rFont val="Times New Roman"/>
        <family val="1"/>
      </rPr>
      <t>cf</t>
    </r>
  </si>
  <si>
    <t>B</t>
  </si>
  <si>
    <t>K</t>
  </si>
  <si>
    <t>Taux de base</t>
  </si>
  <si>
    <t>Surtaxe sur les bénéfices représentant un rendement de plus de 8%</t>
  </si>
  <si>
    <t>(1) Capital et réserves</t>
  </si>
  <si>
    <t>(2) Bénéfice imposable</t>
  </si>
  <si>
    <t>(3) Taux de rendement       (1)/(2)</t>
  </si>
  <si>
    <t>(4) Taux de base d'impôt sur le bénéfice imposable</t>
  </si>
  <si>
    <t>(5) Premiére tranche d'impôt versé : 4% sur le bénéfice imposable   (4)*(2)</t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</si>
  <si>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( t</t>
    </r>
    <r>
      <rPr>
        <b/>
        <vertAlign val="subscript"/>
        <sz val="12"/>
        <rFont val="Times New Roman"/>
        <family val="1"/>
      </rPr>
      <t xml:space="preserve">c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= 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>+t'</t>
    </r>
    <r>
      <rPr>
        <b/>
        <vertAlign val="subscript"/>
        <sz val="12"/>
        <rFont val="Times New Roman"/>
        <family val="1"/>
      </rPr>
      <t>cr</t>
    </r>
  </si>
  <si>
    <r>
      <t>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(1-t') +t</t>
    </r>
    <r>
      <rPr>
        <b/>
        <vertAlign val="subscript"/>
        <sz val="12"/>
        <rFont val="Times New Roman"/>
        <family val="1"/>
      </rPr>
      <t>kr</t>
    </r>
  </si>
  <si>
    <r>
      <t>t'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(1-t')</t>
    </r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</si>
  <si>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( t</t>
    </r>
    <r>
      <rPr>
        <b/>
        <vertAlign val="subscript"/>
        <sz val="12"/>
        <rFont val="Times New Roman"/>
        <family val="1"/>
      </rPr>
      <t xml:space="preserve">c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= 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+t'</t>
    </r>
    <r>
      <rPr>
        <b/>
        <vertAlign val="subscript"/>
        <sz val="12"/>
        <rFont val="Times New Roman"/>
        <family val="1"/>
      </rPr>
      <t>cr</t>
    </r>
  </si>
  <si>
    <r>
      <t>t' = t/(1+t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ou encore : t’= (1-t’)t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 t</t>
    </r>
    <r>
      <rPr>
        <b/>
        <vertAlign val="subscript"/>
        <sz val="12"/>
        <rFont val="Times New Roman"/>
        <family val="1"/>
      </rPr>
      <t xml:space="preserve">k </t>
    </r>
  </si>
  <si>
    <r>
      <t>t'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(1-t') + t</t>
    </r>
    <r>
      <rPr>
        <b/>
        <vertAlign val="subscript"/>
        <sz val="12"/>
        <rFont val="Times New Roman"/>
        <family val="1"/>
      </rPr>
      <t xml:space="preserve">kf                                                                            </t>
    </r>
    <r>
      <rPr>
        <b/>
        <sz val="12"/>
        <rFont val="Times New Roman"/>
        <family val="1"/>
      </rPr>
      <t>ou encore : t'</t>
    </r>
    <r>
      <rPr>
        <b/>
        <vertAlign val="subscript"/>
        <sz val="12"/>
        <rFont val="Times New Roman"/>
        <family val="1"/>
      </rPr>
      <t xml:space="preserve">f </t>
    </r>
    <r>
      <rPr>
        <b/>
        <sz val="12"/>
        <rFont val="Times New Roman"/>
        <family val="1"/>
      </rPr>
      <t>= (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+ t</t>
    </r>
    <r>
      <rPr>
        <b/>
        <vertAlign val="subscript"/>
        <sz val="12"/>
        <rFont val="Times New Roman"/>
        <family val="1"/>
      </rPr>
      <t>kf</t>
    </r>
  </si>
  <si>
    <r>
      <t>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(1-t') +t</t>
    </r>
    <r>
      <rPr>
        <b/>
        <vertAlign val="subscript"/>
        <sz val="12"/>
        <rFont val="Times New Roman"/>
        <family val="1"/>
      </rPr>
      <t xml:space="preserve">kr                                                                               </t>
    </r>
    <r>
      <rPr>
        <b/>
        <sz val="12"/>
        <rFont val="Times New Roman"/>
        <family val="1"/>
      </rPr>
      <t>ou encore :  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+t</t>
    </r>
    <r>
      <rPr>
        <b/>
        <vertAlign val="subscript"/>
        <sz val="12"/>
        <rFont val="Times New Roman"/>
        <family val="1"/>
      </rPr>
      <t>kr</t>
    </r>
  </si>
  <si>
    <t xml:space="preserve">(19) Taux effectif fédéral  d'imposition des sociétés (bénéfice et capital)                    </t>
  </si>
  <si>
    <t>(20) Taux effectif fédéral d'imposition du bénéfice</t>
  </si>
  <si>
    <t xml:space="preserve">(21) Taux effectif régional  d'imposition des sociétés (bénéfice et capital)                    </t>
  </si>
  <si>
    <t>(22) Taux effectif régional d'imposition du bénéfice</t>
  </si>
  <si>
    <t>(23)  Taux effectif global d'imposition du bénéfice (pour EMTR)</t>
  </si>
  <si>
    <t>(24) Taux effectif global d'imposition du capital (pour EMTR)</t>
  </si>
  <si>
    <t xml:space="preserve">Le taux régional de l'impôt sur le bénéfice dépend d'un barème progressif à trois taux en fonction du rendement </t>
  </si>
  <si>
    <t>(Rapport entre le bénéfice et le capital plus les réserves).</t>
  </si>
  <si>
    <t>Soit r l’intensité de rendement r = B/K</t>
  </si>
  <si>
    <t>Zürich fait appel au concept d’intensité de rendement quand il s’agit de déterminer le taux d’impôt applicable au bénéfice net imposable.</t>
  </si>
  <si>
    <t xml:space="preserve">L’intensité de rendement est définie comme le rapport en % entre le bénéfice net imposable et le montant du capital social et des réserves. </t>
  </si>
  <si>
    <t xml:space="preserve">Ce calcul est effectué avec l’hypothèse d’un taux de rendement de 50% (capital de deux millions de francs, bénéfice d’un million de francs). </t>
  </si>
  <si>
    <t xml:space="preserve">On utilise en outre les données légales listées dans le tableau 2. </t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</si>
  <si>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</si>
  <si>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r>
      <t>t'</t>
    </r>
    <r>
      <rPr>
        <b/>
        <vertAlign val="subscript"/>
        <sz val="10"/>
        <rFont val="Times New Roman"/>
        <family val="1"/>
      </rPr>
      <t xml:space="preserve"> charge fiscale</t>
    </r>
  </si>
  <si>
    <t xml:space="preserve">(3) Taux de rendement </t>
  </si>
  <si>
    <t>r</t>
  </si>
  <si>
    <t>(4) Inverse du taux de rendement</t>
  </si>
  <si>
    <t>1/r</t>
  </si>
  <si>
    <t>(3) Multiples pour l'imposition du bénéfice au niveau régional</t>
  </si>
  <si>
    <t>(4) Taux d'impôt nominal global pour l'imposition du bénéfice au niveau régional</t>
  </si>
  <si>
    <t>(5) Taux global nominal d'imposition sur le bénéfice sans l'impôt sur le capital</t>
  </si>
  <si>
    <t xml:space="preserve">(6) Taux global effectif d'imposition </t>
  </si>
  <si>
    <t>(7) Taux effectif fédéral d'imposition</t>
  </si>
  <si>
    <t>(8) Taux effectif régional d'imposition</t>
  </si>
  <si>
    <t xml:space="preserve">(23) Taux effectif régional  d'imposition des sociétés (bénéfice et capital)                    </t>
  </si>
  <si>
    <t xml:space="preserve">(24) Autre formulation du taux effectif régional d'imposition des sociétés (bénéfice et capital)                    </t>
  </si>
  <si>
    <t>(25) Taux effectif régional d'imposition du bénéfice</t>
  </si>
  <si>
    <t>(26) Total</t>
  </si>
  <si>
    <t>(27)  Taux effectif global d'imposition du bénéfice (pour EMTR)</t>
  </si>
  <si>
    <t>(28) Taux effectif global d'imposition du capital (pour EMTR)</t>
  </si>
  <si>
    <t>Contrairement à d’autres législations cantonales, la législation en vigueur à Zürich indique légalement</t>
  </si>
  <si>
    <t>le taux maximal d’imposition du bénéfice des sociétés ainsi que le taux maximal d’imposition du capital.</t>
  </si>
  <si>
    <t xml:space="preserve">Nota : Le terme régional est employé ici par choix d’une notion globale intégrant la taxation, calculée en multiple, </t>
  </si>
  <si>
    <t>du canton, de la commune et de la paroisse</t>
  </si>
  <si>
    <t>(6) Taux d'impôt légal régional maximal</t>
  </si>
  <si>
    <t>(7) Multiples pour l'imposition du bénéfice et du capital au niveau régional</t>
  </si>
  <si>
    <t>(8) Taux d'impôt nominal global pour l'imposition du bénéfice au niveau régional (6)*(7)</t>
  </si>
  <si>
    <t>(9) Taux global nominal d'imposition sur le bénéfice (5)+(8) sans l'impôt sur le capital</t>
  </si>
  <si>
    <t>(11) Taux d'imposition au niveau fédéral en pourcentage du bénéfice</t>
  </si>
  <si>
    <r>
      <t>Le taux d’imposition maximal de base pour Zürich y compris l’impôt sur le capital est donc de 10.3% (t</t>
    </r>
    <r>
      <rPr>
        <vertAlign val="subscript"/>
        <sz val="10"/>
        <color indexed="8"/>
        <rFont val="Arial"/>
        <family val="2"/>
      </rPr>
      <t>kb</t>
    </r>
    <r>
      <rPr>
        <sz val="10"/>
        <color indexed="8"/>
        <rFont val="Arial"/>
        <family val="2"/>
      </rPr>
      <t>).</t>
    </r>
  </si>
  <si>
    <r>
      <t>Soit t</t>
    </r>
    <r>
      <rPr>
        <vertAlign val="subscript"/>
        <sz val="10"/>
        <color indexed="8"/>
        <rFont val="Arial"/>
        <family val="2"/>
      </rPr>
      <t xml:space="preserve">b </t>
    </r>
    <r>
      <rPr>
        <sz val="10"/>
        <color indexed="8"/>
        <rFont val="Arial"/>
        <family val="2"/>
      </rPr>
      <t>ou encore</t>
    </r>
    <r>
      <rPr>
        <vertAlign val="sub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</t>
    </r>
    <r>
      <rPr>
        <vertAlign val="subscript"/>
        <sz val="10"/>
        <color indexed="8"/>
        <rFont val="Arial"/>
        <family val="2"/>
      </rPr>
      <t>b_légal</t>
    </r>
    <r>
      <rPr>
        <sz val="10"/>
        <color indexed="8"/>
        <rFont val="Arial"/>
        <family val="2"/>
      </rPr>
      <t xml:space="preserve">, le taux de base (prévu dans la loi fiscale) d’imposition du bénéfice au niveau régional. </t>
    </r>
  </si>
  <si>
    <r>
      <t>t</t>
    </r>
    <r>
      <rPr>
        <vertAlign val="sub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=T/B = 14% - 0.6%K/B</t>
    </r>
  </si>
  <si>
    <r>
      <t>t</t>
    </r>
    <r>
      <rPr>
        <vertAlign val="sub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= 14% - 0.6%/r</t>
    </r>
  </si>
  <si>
    <r>
      <t>Soit t</t>
    </r>
    <r>
      <rPr>
        <vertAlign val="subscript"/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, le taux d’impôt sur le capital en % du bénéfice </t>
    </r>
  </si>
  <si>
    <r>
      <t>t</t>
    </r>
    <r>
      <rPr>
        <vertAlign val="subscript"/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= taux d’impôt sur le capital*K/B = 0.15%*20000000/1000000.</t>
    </r>
  </si>
  <si>
    <r>
      <t>t</t>
    </r>
    <r>
      <rPr>
        <vertAlign val="subscript"/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 xml:space="preserve"> = 0.30%</t>
    </r>
  </si>
  <si>
    <t>(1) Taux d'impôt fédéral légal sur le bénéfice</t>
  </si>
  <si>
    <t>(2) Taux de base légal d'imposition du bénéfice au niveau régional</t>
  </si>
  <si>
    <r>
      <t>t'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 xml:space="preserve"> = </t>
    </r>
    <r>
      <rPr>
        <b/>
        <sz val="12"/>
        <rFont val="Times New Roman"/>
        <family val="1"/>
      </rPr>
      <t>(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+ t</t>
    </r>
    <r>
      <rPr>
        <b/>
        <vertAlign val="subscript"/>
        <sz val="12"/>
        <rFont val="Times New Roman"/>
        <family val="1"/>
      </rPr>
      <t>kf</t>
    </r>
  </si>
  <si>
    <r>
      <t>t'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(1-t') + t</t>
    </r>
    <r>
      <rPr>
        <b/>
        <vertAlign val="subscript"/>
        <sz val="12"/>
        <rFont val="Times New Roman"/>
        <family val="1"/>
      </rPr>
      <t>kf</t>
    </r>
  </si>
  <si>
    <r>
      <t>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 xml:space="preserve">= 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+t</t>
    </r>
    <r>
      <rPr>
        <b/>
        <vertAlign val="subscript"/>
        <sz val="12"/>
        <rFont val="Times New Roman"/>
        <family val="1"/>
      </rPr>
      <t>kr</t>
    </r>
  </si>
  <si>
    <r>
      <t>Pour vérification : t'</t>
    </r>
    <r>
      <rPr>
        <b/>
        <sz val="12"/>
        <rFont val="Times New Roman"/>
        <family val="1"/>
      </rPr>
      <t>= t'</t>
    </r>
    <r>
      <rPr>
        <b/>
        <vertAlign val="subscript"/>
        <sz val="12"/>
        <rFont val="Times New Roman"/>
        <family val="1"/>
      </rPr>
      <t xml:space="preserve">f </t>
    </r>
    <r>
      <rPr>
        <b/>
        <sz val="12"/>
        <rFont val="Times New Roman"/>
        <family val="1"/>
      </rPr>
      <t>+ t'</t>
    </r>
    <r>
      <rPr>
        <b/>
        <vertAlign val="subscript"/>
        <sz val="12"/>
        <rFont val="Times New Roman"/>
        <family val="1"/>
      </rPr>
      <t>r</t>
    </r>
  </si>
  <si>
    <r>
      <t>t' = t/(1+t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</si>
  <si>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r>
      <t>t’= (1-t’)t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>+ t</t>
    </r>
    <r>
      <rPr>
        <b/>
        <vertAlign val="subscript"/>
        <sz val="12"/>
        <color indexed="8"/>
        <rFont val="Times"/>
        <family val="1"/>
      </rPr>
      <t>k</t>
    </r>
    <r>
      <rPr>
        <b/>
        <sz val="12"/>
        <color indexed="8"/>
        <rFont val="Times New Roman"/>
        <family val="1"/>
      </rPr>
      <t xml:space="preserve"> </t>
    </r>
  </si>
  <si>
    <r>
      <t>t'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=t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=t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kr</t>
    </r>
  </si>
  <si>
    <t>Taux effectif d'imposition du capital</t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</si>
  <si>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</si>
  <si>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r>
      <t xml:space="preserve">t' </t>
    </r>
    <r>
      <rPr>
        <b/>
        <vertAlign val="subscript"/>
        <sz val="12"/>
        <rFont val="Times New Roman"/>
        <family val="1"/>
      </rPr>
      <t>théorique</t>
    </r>
    <r>
      <rPr>
        <b/>
        <sz val="12"/>
        <rFont val="Times New Roman"/>
        <family val="1"/>
      </rPr>
      <t>= (t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</si>
  <si>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r>
      <t>t'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</t>
    </r>
  </si>
  <si>
    <t xml:space="preserve">Avec B le bénéfice et K le capital, T le montant d’impôt </t>
  </si>
  <si>
    <t>D’après la législation en vigueur le montant d’impôt est le suivant :</t>
  </si>
  <si>
    <t>T= 4% B +5% (B - 4% K) +5% (B - 8% K)</t>
  </si>
  <si>
    <t>T = 14% B - 0.6% K</t>
  </si>
  <si>
    <t>Ainsi le taux de base d’imposition du bénéfice au niveau régional est une fonction de l’intensité de rendement</t>
  </si>
  <si>
    <t>Afin de comparer ultérieurement les données empiriques de la charge fiscale, il est nécessaire d’intégrer l’impôt sur le capital, dans le taux de base.</t>
  </si>
  <si>
    <r>
      <t>t</t>
    </r>
    <r>
      <rPr>
        <b/>
        <vertAlign val="subscript"/>
        <sz val="12"/>
        <color indexed="8"/>
        <rFont val="Times New Roman"/>
        <family val="1"/>
      </rPr>
      <t>cf</t>
    </r>
  </si>
  <si>
    <r>
      <t>t</t>
    </r>
    <r>
      <rPr>
        <b/>
        <vertAlign val="subscript"/>
        <sz val="12"/>
        <color indexed="8"/>
        <rFont val="Times New Roman"/>
        <family val="1"/>
      </rPr>
      <t>b_légal</t>
    </r>
  </si>
  <si>
    <r>
      <t>t</t>
    </r>
    <r>
      <rPr>
        <b/>
        <vertAlign val="subscript"/>
        <sz val="12"/>
        <color indexed="8"/>
        <rFont val="Times New Roman"/>
        <family val="1"/>
      </rPr>
      <t>cr</t>
    </r>
    <r>
      <rPr>
        <b/>
        <sz val="12"/>
        <color indexed="8"/>
        <rFont val="Times New Roman"/>
        <family val="1"/>
      </rPr>
      <t>= M t</t>
    </r>
    <r>
      <rPr>
        <b/>
        <vertAlign val="subscript"/>
        <sz val="12"/>
        <color indexed="8"/>
        <rFont val="Times New Roman"/>
        <family val="1"/>
      </rPr>
      <t>b_légal</t>
    </r>
  </si>
  <si>
    <r>
      <t>t</t>
    </r>
    <r>
      <rPr>
        <b/>
        <vertAlign val="subscript"/>
        <sz val="12"/>
        <color indexed="8"/>
        <rFont val="Times New Roman"/>
        <family val="1"/>
      </rPr>
      <t>c</t>
    </r>
    <r>
      <rPr>
        <b/>
        <sz val="12"/>
        <color indexed="8"/>
        <rFont val="Times New Roman"/>
        <family val="1"/>
      </rPr>
      <t xml:space="preserve"> = t</t>
    </r>
    <r>
      <rPr>
        <b/>
        <vertAlign val="subscript"/>
        <sz val="12"/>
        <color indexed="8"/>
        <rFont val="Times New Roman"/>
        <family val="1"/>
      </rPr>
      <t>cf</t>
    </r>
    <r>
      <rPr>
        <b/>
        <sz val="12"/>
        <color indexed="8"/>
        <rFont val="Times New Roman"/>
        <family val="1"/>
      </rPr>
      <t xml:space="preserve"> +t</t>
    </r>
    <r>
      <rPr>
        <b/>
        <vertAlign val="subscript"/>
        <sz val="12"/>
        <color indexed="8"/>
        <rFont val="Times New Roman"/>
        <family val="1"/>
      </rPr>
      <t>cr</t>
    </r>
  </si>
  <si>
    <t>Les taux nominaux d’imposition du bénéfice et du capital à Zürich</t>
  </si>
  <si>
    <t>Les bases légales en 2000</t>
  </si>
  <si>
    <t>(20) Taux légal régional de l'impôt sur le capital</t>
  </si>
  <si>
    <t xml:space="preserve">La confédération perçoit un impôt annuel sur le bénéfice net des sociétés, alors que le canton et la commune, </t>
  </si>
  <si>
    <t>(16) Total impôt à payer sur le bénéfice</t>
  </si>
  <si>
    <t>(22) Taux d'impôt effectif du capital en rapport au bénéfice (21)/(1)</t>
  </si>
  <si>
    <r>
      <t>t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kf_légal</t>
    </r>
    <r>
      <rPr>
        <b/>
        <sz val="12"/>
        <rFont val="Times New Roman"/>
        <family val="1"/>
      </rPr>
      <t xml:space="preserve"> * 1/r</t>
    </r>
  </si>
  <si>
    <t>(5)Taux d'impôt fédéral légal sur le bénéfice</t>
  </si>
  <si>
    <r>
      <t>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kf </t>
    </r>
    <r>
      <rPr>
        <b/>
        <sz val="12"/>
        <rFont val="Times New Roman"/>
        <family val="1"/>
      </rPr>
      <t>+ t</t>
    </r>
    <r>
      <rPr>
        <b/>
        <vertAlign val="subscript"/>
        <sz val="12"/>
        <rFont val="Times New Roman"/>
        <family val="1"/>
      </rPr>
      <t>kr</t>
    </r>
  </si>
  <si>
    <r>
      <t>t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</t>
    </r>
  </si>
  <si>
    <r>
      <t xml:space="preserve"> t</t>
    </r>
    <r>
      <rPr>
        <b/>
        <vertAlign val="subscript"/>
        <sz val="12"/>
        <rFont val="Times New Roman"/>
        <family val="1"/>
      </rPr>
      <t>kf</t>
    </r>
  </si>
  <si>
    <r>
      <t>t</t>
    </r>
    <r>
      <rPr>
        <b/>
        <vertAlign val="subscript"/>
        <sz val="12"/>
        <rFont val="Times New Roman"/>
        <family val="1"/>
      </rPr>
      <t>kr</t>
    </r>
  </si>
  <si>
    <r>
      <t>t</t>
    </r>
    <r>
      <rPr>
        <b/>
        <vertAlign val="subscript"/>
        <sz val="12"/>
        <rFont val="Times New Roman"/>
        <family val="1"/>
      </rPr>
      <t>kf_légal ou</t>
    </r>
    <r>
      <rPr>
        <b/>
        <sz val="12"/>
        <rFont val="Times New Roman"/>
        <family val="1"/>
      </rPr>
      <t xml:space="preserve"> t</t>
    </r>
    <r>
      <rPr>
        <b/>
        <vertAlign val="subscript"/>
        <sz val="12"/>
        <rFont val="Times New Roman"/>
        <family val="1"/>
      </rPr>
      <t>kf_légal/k</t>
    </r>
  </si>
  <si>
    <t>(10) Taux d'impôt fédéral sur le capital en pourcentage du capital</t>
  </si>
  <si>
    <t>(12) Taux légal régional d'imposition du capital en pourcentage du capital</t>
  </si>
  <si>
    <r>
      <t>t</t>
    </r>
    <r>
      <rPr>
        <b/>
        <vertAlign val="subscript"/>
        <sz val="12"/>
        <color indexed="8"/>
        <rFont val="Times New Roman"/>
        <family val="1"/>
      </rPr>
      <t xml:space="preserve">kr_légal ou </t>
    </r>
    <r>
      <rPr>
        <b/>
        <sz val="12"/>
        <color indexed="8"/>
        <rFont val="Times New Roman"/>
        <family val="1"/>
      </rPr>
      <t>t</t>
    </r>
    <r>
      <rPr>
        <b/>
        <vertAlign val="subscript"/>
        <sz val="12"/>
        <color indexed="8"/>
        <rFont val="Times New Roman"/>
        <family val="1"/>
      </rPr>
      <t>kr_légal/k</t>
    </r>
  </si>
  <si>
    <r>
      <t xml:space="preserve"> </t>
    </r>
    <r>
      <rPr>
        <b/>
        <sz val="12"/>
        <color indexed="8"/>
        <rFont val="Times New Roman"/>
        <family val="1"/>
      </rPr>
      <t>t</t>
    </r>
    <r>
      <rPr>
        <b/>
        <vertAlign val="subscript"/>
        <sz val="12"/>
        <color indexed="8"/>
        <rFont val="Times New Roman"/>
        <family val="1"/>
      </rPr>
      <t>kr/k</t>
    </r>
    <r>
      <rPr>
        <b/>
        <sz val="12"/>
        <color indexed="8"/>
        <rFont val="Times New Roman"/>
        <family val="1"/>
      </rPr>
      <t xml:space="preserve"> = M*t</t>
    </r>
    <r>
      <rPr>
        <b/>
        <vertAlign val="subscript"/>
        <sz val="12"/>
        <color indexed="8"/>
        <rFont val="Times New Roman"/>
        <family val="1"/>
      </rPr>
      <t>kr_légal</t>
    </r>
  </si>
  <si>
    <t>(15) Taux nominal d'imposition du capital (fédéral et régional) en pourcentage du capital</t>
  </si>
  <si>
    <r>
      <t>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 xml:space="preserve">(1-t') </t>
    </r>
  </si>
  <si>
    <r>
      <t>t'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(1-t') + t</t>
    </r>
    <r>
      <rPr>
        <b/>
        <vertAlign val="subscript"/>
        <sz val="12"/>
        <rFont val="Times New Roman"/>
        <family val="1"/>
      </rPr>
      <t xml:space="preserve">kf                                                   </t>
    </r>
    <r>
      <rPr>
        <b/>
        <sz val="12"/>
        <rFont val="Times New Roman"/>
        <family val="1"/>
      </rPr>
      <t>ou encore : t'</t>
    </r>
    <r>
      <rPr>
        <b/>
        <vertAlign val="subscript"/>
        <sz val="12"/>
        <rFont val="Times New Roman"/>
        <family val="1"/>
      </rPr>
      <t xml:space="preserve">f </t>
    </r>
    <r>
      <rPr>
        <b/>
        <sz val="12"/>
        <rFont val="Times New Roman"/>
        <family val="1"/>
      </rPr>
      <t>= (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+ t</t>
    </r>
    <r>
      <rPr>
        <b/>
        <vertAlign val="subscript"/>
        <sz val="12"/>
        <rFont val="Times New Roman"/>
        <family val="1"/>
      </rPr>
      <t>kf</t>
    </r>
  </si>
  <si>
    <r>
      <t>t' = t/(1+t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                                               ou encore  : t’= (1-t’)t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 t</t>
    </r>
    <r>
      <rPr>
        <b/>
        <vertAlign val="subscript"/>
        <sz val="12"/>
        <rFont val="Times New Roman"/>
        <family val="1"/>
      </rPr>
      <t xml:space="preserve">k </t>
    </r>
  </si>
  <si>
    <r>
      <t>T'</t>
    </r>
    <r>
      <rPr>
        <b/>
        <vertAlign val="subscript"/>
        <sz val="12"/>
        <rFont val="Times New Roman"/>
        <family val="1"/>
      </rPr>
      <t xml:space="preserve">f </t>
    </r>
    <r>
      <rPr>
        <b/>
        <sz val="12"/>
        <rFont val="Times New Roman"/>
        <family val="1"/>
      </rPr>
      <t>= t'</t>
    </r>
    <r>
      <rPr>
        <b/>
        <vertAlign val="subscript"/>
        <sz val="12"/>
        <rFont val="Times New Roman"/>
        <family val="1"/>
      </rPr>
      <t>f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</si>
  <si>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</si>
  <si>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= 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</si>
  <si>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 xml:space="preserve">r </t>
    </r>
    <r>
      <rPr>
        <b/>
        <sz val="12"/>
        <rFont val="Times New Roman"/>
        <family val="1"/>
      </rPr>
      <t>= t'r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</si>
  <si>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= t'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</si>
  <si>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</si>
  <si>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*B</t>
    </r>
  </si>
  <si>
    <r>
      <t>T'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*B</t>
    </r>
  </si>
  <si>
    <t xml:space="preserve">(1) Taux effectif d'imposition des sociétés y compris l'impôt sur le capital     </t>
  </si>
  <si>
    <t xml:space="preserve">(2) Taux effectif fédéral  d'imposition des sociétés (bénéfice et capital)                    </t>
  </si>
  <si>
    <t>(3) Taux effectif fédéral d'imposition du bénéfice</t>
  </si>
  <si>
    <t>(4) Taux d'imposition fédéral sur le capital</t>
  </si>
  <si>
    <t xml:space="preserve">(5) Taux effectif régional  d'imposition des sociétés (bénéfice et capital)                    </t>
  </si>
  <si>
    <t>(6) Taux effectif régional d'imposition du bénéfice</t>
  </si>
  <si>
    <t>(7) Taux d'imposition regional sur le capital en pourcent du bénéfice</t>
  </si>
  <si>
    <t>(8)  Taux effectif global d'imposition du bénéfice (pour EMTR)</t>
  </si>
  <si>
    <t>(9) Taux effectif global d'imposition du capital (pour EMTR)</t>
  </si>
  <si>
    <t>(6) Taux de déduction</t>
  </si>
  <si>
    <t>(7) Premier montant à déduire Taux de déduction* Capital (6)*(1)</t>
  </si>
  <si>
    <t>(8)Montant 1 restant à être imposé : Bénéfice imposable - Montant à déduire (2)- (7)</t>
  </si>
  <si>
    <t>(9) Taux d'impot sur le bénéfice imposable</t>
  </si>
  <si>
    <t>(10) Deuxième tranche d'impôt versé 5 % sur le montant 1     (9)*(8)</t>
  </si>
  <si>
    <t>(11) Taux de déduction</t>
  </si>
  <si>
    <t>(12) Deuxiéme montant à déduire Taux de déduction * Capital (11)*(1)</t>
  </si>
  <si>
    <t>(13)  Montant 2 restant à être imposé : Bénéfice imposable - Deuxième montant à déduire (2)-(12)</t>
  </si>
  <si>
    <t>(14) Taux d'impôt sur le bénéfice imposable</t>
  </si>
  <si>
    <t>(15) Troisième tranche d'impôt versé 5% sur montant restant 2 (14)*(13)</t>
  </si>
  <si>
    <t xml:space="preserve">(17) Le taux de l'impôt ne peut excéder </t>
  </si>
  <si>
    <t>(17) Critére du taux maxi* Bénéfice (17)* (2)</t>
  </si>
  <si>
    <t>(18) Montant total d'impôt à prendre en compte effectivement si (16) inférieur à (17) alors (16) sinon (17)</t>
  </si>
  <si>
    <t>M</t>
  </si>
  <si>
    <t>(19) Taux de l'impôt sur le bénéfice</t>
  </si>
  <si>
    <t>(21) Montant d'impôt à payer sur le capital (20)*(1)</t>
  </si>
  <si>
    <t>(23) Impôt sur les sociétés y compris impôt sur le capital (19)+(22)</t>
  </si>
  <si>
    <t>Le taux de l'impôt ne peut être supérieur à :</t>
  </si>
  <si>
    <t>A Zürich pour un taux de rendement des sociétés de 50%</t>
  </si>
  <si>
    <t>Variables</t>
  </si>
  <si>
    <t>Surtaxe sur les bénéfices représentant un rendement de plus de 4%</t>
  </si>
  <si>
    <t>T' = t'B</t>
  </si>
  <si>
    <t xml:space="preserve"> tb_légal = T/B</t>
  </si>
  <si>
    <r>
      <t>t</t>
    </r>
    <r>
      <rPr>
        <b/>
        <vertAlign val="subscript"/>
        <sz val="12"/>
        <rFont val="Times New Roman"/>
        <family val="1"/>
      </rPr>
      <t xml:space="preserve">kf_légal </t>
    </r>
    <r>
      <rPr>
        <b/>
        <sz val="12"/>
        <rFont val="Times New Roman"/>
        <family val="1"/>
      </rPr>
      <t>ou t</t>
    </r>
    <r>
      <rPr>
        <b/>
        <vertAlign val="subscript"/>
        <sz val="12"/>
        <rFont val="Times New Roman"/>
        <family val="1"/>
      </rPr>
      <t>kf_légal/k</t>
    </r>
  </si>
  <si>
    <r>
      <t xml:space="preserve"> t</t>
    </r>
    <r>
      <rPr>
        <b/>
        <vertAlign val="subscript"/>
        <sz val="12"/>
        <color indexed="8"/>
        <rFont val="Times New Roman"/>
        <family val="1"/>
      </rPr>
      <t xml:space="preserve">kr/k = </t>
    </r>
    <r>
      <rPr>
        <b/>
        <sz val="12"/>
        <color indexed="8"/>
        <rFont val="Times New Roman"/>
        <family val="1"/>
      </rPr>
      <t>M*t</t>
    </r>
    <r>
      <rPr>
        <b/>
        <vertAlign val="subscript"/>
        <sz val="12"/>
        <color indexed="8"/>
        <rFont val="Times New Roman"/>
        <family val="1"/>
      </rPr>
      <t>kr_légal</t>
    </r>
  </si>
  <si>
    <r>
      <t>t</t>
    </r>
    <r>
      <rPr>
        <b/>
        <vertAlign val="subscript"/>
        <sz val="12"/>
        <rFont val="Times New Roman"/>
        <family val="1"/>
      </rPr>
      <t>k/k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kf/k</t>
    </r>
    <r>
      <rPr>
        <b/>
        <sz val="12"/>
        <rFont val="Times New Roman"/>
        <family val="1"/>
      </rPr>
      <t>+ t</t>
    </r>
    <r>
      <rPr>
        <b/>
        <vertAlign val="subscript"/>
        <sz val="12"/>
        <rFont val="Times New Roman"/>
        <family val="1"/>
      </rPr>
      <t>kr/k</t>
    </r>
  </si>
  <si>
    <t xml:space="preserve">où se situe le siége de l’entreprise perçoivent un impôt annuel sur le bénéfice net et sur le capital. </t>
  </si>
  <si>
    <t>(1) Bénéfice net avant impôt</t>
  </si>
  <si>
    <t>(2) Capital</t>
  </si>
  <si>
    <t>Taux effectifs d'imposition</t>
  </si>
  <si>
    <t>Taux global d'imposition du bénéfice</t>
  </si>
  <si>
    <t>Taux effectif d'imposition du bénéfice</t>
  </si>
  <si>
    <t>L'impôt sur le bénéfice des sociétés à Zürich</t>
  </si>
  <si>
    <t>L'impôt sur le capital des sociétés à Zürich</t>
  </si>
  <si>
    <t xml:space="preserve">Cependant dans les démonstrations théoriques suivantes, nous prenons en compte l’imposition du capital au niveau fédéral, </t>
  </si>
  <si>
    <t xml:space="preserve">cet impôt ayant existé par le passé. </t>
  </si>
  <si>
    <t>Taux nominaux d'imposition</t>
  </si>
  <si>
    <t>Liens dans le fichier</t>
  </si>
  <si>
    <t>(5) Premiére tranche d'impôt versé : 3.63% sur le bénéfice imposable   (4)*(2)</t>
  </si>
  <si>
    <t>(10) Deuxième tranche d'impôt versé 3.63 sur le montant 1     (9)*(8)</t>
  </si>
  <si>
    <t>(13)  Montant 2 restant à être imposé : Montant 1 - Deuxième montant à déduire (8)-(12)</t>
  </si>
  <si>
    <t>(15) Troisième tranche d'impôt versé 4.84% sur montant restant 2 (14)*(13)</t>
  </si>
  <si>
    <t>(16) Total impôt à payer</t>
  </si>
  <si>
    <t>Multiplicateur cantonal</t>
  </si>
  <si>
    <r>
      <t>M</t>
    </r>
    <r>
      <rPr>
        <b/>
        <vertAlign val="subscript"/>
        <sz val="9"/>
        <rFont val="Arial"/>
        <family val="2"/>
      </rPr>
      <t>cant_m</t>
    </r>
  </si>
  <si>
    <t>Multiplicateur communal</t>
  </si>
  <si>
    <r>
      <t>M</t>
    </r>
    <r>
      <rPr>
        <b/>
        <vertAlign val="subscript"/>
        <sz val="9"/>
        <rFont val="Arial"/>
        <family val="2"/>
      </rPr>
      <t>com_m</t>
    </r>
  </si>
  <si>
    <t>Multiplicateur paroissial</t>
  </si>
  <si>
    <r>
      <t>M</t>
    </r>
    <r>
      <rPr>
        <b/>
        <vertAlign val="subscript"/>
        <sz val="9"/>
        <rFont val="Arial"/>
        <family val="2"/>
      </rPr>
      <t>par_m</t>
    </r>
  </si>
  <si>
    <t>Multiplicateur total</t>
  </si>
  <si>
    <r>
      <t>M</t>
    </r>
    <r>
      <rPr>
        <b/>
        <vertAlign val="subscript"/>
        <sz val="9"/>
        <rFont val="Arial"/>
        <family val="2"/>
      </rPr>
      <t>m</t>
    </r>
  </si>
  <si>
    <r>
      <t>t</t>
    </r>
    <r>
      <rPr>
        <b/>
        <vertAlign val="subscript"/>
        <sz val="12"/>
        <rFont val="Times New Roman"/>
        <family val="1"/>
      </rPr>
      <t>kf/k</t>
    </r>
  </si>
  <si>
    <t>(2) Multiplicateur</t>
  </si>
  <si>
    <t>(3) Taux régional d'imposition du capital en pourcentage du capital</t>
  </si>
  <si>
    <t>(4) Taux d'impôt fédéral sur le capital (en pourcentage du capital)</t>
  </si>
  <si>
    <t>(5) Taux nominal d'imposition du capital (fédéral et régional) en pourcentage du capital</t>
  </si>
  <si>
    <t>(1) Taux légal régional de base d'imposition du capital (en pourcentage du capital)</t>
  </si>
  <si>
    <t>Récapitulatif des taux à prendre en compte pour le calcul des EMTR</t>
  </si>
  <si>
    <t>Taux d'impôt proportionnel sur le bénéfice au niveau fédéral</t>
  </si>
  <si>
    <t>Barèmes de l'imposition du capital</t>
  </si>
  <si>
    <t>Taux d'impôt fédéral grevant le capital</t>
  </si>
  <si>
    <t>Taux d'impôt régional de base du capital</t>
  </si>
  <si>
    <r>
      <t>t</t>
    </r>
    <r>
      <rPr>
        <b/>
        <vertAlign val="subscript"/>
        <sz val="12"/>
        <color indexed="8"/>
        <rFont val="Times New Roman"/>
        <family val="1"/>
      </rPr>
      <t>kr_légal</t>
    </r>
  </si>
  <si>
    <t>(2) Multiples pour l'imposition du bénéfice et du capital au niveau régional</t>
  </si>
  <si>
    <t>(4)Taux d'impôt fédéral légal sur le bénéfice</t>
  </si>
  <si>
    <t xml:space="preserve">(5) Taux global nominal d'imposition sur le bénéfice </t>
  </si>
  <si>
    <t>(3) Taux d'impôt nominal  pour l'imposition du bénéfice au niveau régional</t>
  </si>
  <si>
    <t>(1) Taux maximal d'impôt légal régional de base sur le bénéfice</t>
  </si>
  <si>
    <t>(1) Montant de l'imposition effective (Bénéfice et capital) (cf. pour vérification : Publication de la charge fiscale)</t>
  </si>
  <si>
    <t>(2) Montant de l'imposition effective (Bénéfice et capital) au niveau fédéral (cf. pour vérification : Publication de la charge fiscale)</t>
  </si>
  <si>
    <t>(3) Montant de l'imposition effective du bénéfice au niveau fédéral</t>
  </si>
  <si>
    <t>(4) Montant de l'imposition du capital au niveau fédéral</t>
  </si>
  <si>
    <t>(5) Montant de l'imposition effective (Bénéfice et capital) au niveau régional (cf. pour vérification : Publication de la charge fiscale)</t>
  </si>
  <si>
    <t>(6) Montant de l'imposition effective du bénéfice au niveau régional</t>
  </si>
  <si>
    <t>(7) Montant de l'imposition du capital au niveau régional</t>
  </si>
  <si>
    <t>(8) Montant de l'imposition globale effective du bénéfice</t>
  </si>
  <si>
    <t xml:space="preserve">(9) Montant de l'imposition globale du capital </t>
  </si>
  <si>
    <t>Différence</t>
  </si>
  <si>
    <t>Montant d'impôt total</t>
  </si>
  <si>
    <t>Montant d'impôt confédération</t>
  </si>
  <si>
    <t>Montant d'impôt cantonal</t>
  </si>
  <si>
    <t>Bénéfice net avant impôt</t>
  </si>
  <si>
    <t>Paramétres pour calculs</t>
  </si>
  <si>
    <t>Taux global nominal d'imposition du bénéfice</t>
  </si>
  <si>
    <t>Taux d'impôt nominal sur le capital</t>
  </si>
  <si>
    <r>
      <t>t</t>
    </r>
    <r>
      <rPr>
        <b/>
        <vertAlign val="subscript"/>
        <sz val="11"/>
        <rFont val="Arial"/>
        <family val="2"/>
      </rPr>
      <t>c</t>
    </r>
  </si>
  <si>
    <t>Bénéfice net déterminant pour le calcul de l'impôt (Canton et commune)</t>
  </si>
  <si>
    <t>Bénéfice net déterminant pour le calcul de l'impôt (Confédération</t>
  </si>
  <si>
    <t>Les 4 cas pour le calcul des EMTR</t>
  </si>
  <si>
    <t>Taux global effectif d'imposition du bénéfice</t>
  </si>
  <si>
    <r>
      <t>t</t>
    </r>
    <r>
      <rPr>
        <b/>
        <vertAlign val="subscript"/>
        <sz val="11"/>
        <rFont val="Arial"/>
        <family val="2"/>
      </rPr>
      <t>c</t>
    </r>
  </si>
  <si>
    <r>
      <t>t</t>
    </r>
    <r>
      <rPr>
        <b/>
        <vertAlign val="subscript"/>
        <sz val="11"/>
        <rFont val="Arial"/>
        <family val="2"/>
      </rPr>
      <t>k</t>
    </r>
  </si>
  <si>
    <r>
      <t>t'</t>
    </r>
    <r>
      <rPr>
        <b/>
        <vertAlign val="subscript"/>
        <sz val="11"/>
        <rFont val="Arial"/>
        <family val="2"/>
      </rPr>
      <t>c sans capital</t>
    </r>
  </si>
  <si>
    <r>
      <t>t'</t>
    </r>
    <r>
      <rPr>
        <b/>
        <vertAlign val="subscript"/>
        <sz val="11"/>
        <rFont val="Arial"/>
        <family val="2"/>
      </rPr>
      <t>c avec capital</t>
    </r>
  </si>
  <si>
    <t>Variables représentatives</t>
  </si>
  <si>
    <t>Titre</t>
  </si>
  <si>
    <t>Tableau 1 : Les 4 cas pour le calcul des EMTR</t>
  </si>
  <si>
    <t>Modèle sans imposition du capital</t>
  </si>
  <si>
    <r>
      <t>t</t>
    </r>
    <r>
      <rPr>
        <b/>
        <vertAlign val="subscript"/>
        <sz val="11"/>
        <rFont val="Arial"/>
        <family val="2"/>
      </rPr>
      <t>c</t>
    </r>
    <r>
      <rPr>
        <b/>
        <sz val="9"/>
        <rFont val="Arial"/>
        <family val="2"/>
      </rPr>
      <t xml:space="preserve"> (donnée)</t>
    </r>
  </si>
  <si>
    <r>
      <t>t'</t>
    </r>
    <r>
      <rPr>
        <b/>
        <vertAlign val="subscript"/>
        <sz val="11"/>
        <rFont val="Arial"/>
        <family val="2"/>
      </rPr>
      <t xml:space="preserve">c sans capital </t>
    </r>
    <r>
      <rPr>
        <b/>
        <sz val="11"/>
        <rFont val="Arial"/>
        <family val="2"/>
      </rPr>
      <t>= t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>/(1+t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>)</t>
    </r>
  </si>
  <si>
    <r>
      <t>t</t>
    </r>
    <r>
      <rPr>
        <b/>
        <vertAlign val="subscript"/>
        <sz val="11"/>
        <rFont val="Arial"/>
        <family val="2"/>
      </rPr>
      <t>k</t>
    </r>
    <r>
      <rPr>
        <b/>
        <sz val="9"/>
        <rFont val="Arial"/>
        <family val="2"/>
      </rPr>
      <t xml:space="preserve"> (donnée)</t>
    </r>
  </si>
  <si>
    <r>
      <t>t'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 xml:space="preserve"> </t>
    </r>
    <r>
      <rPr>
        <b/>
        <vertAlign val="subscript"/>
        <sz val="11"/>
        <rFont val="Arial"/>
        <family val="2"/>
      </rPr>
      <t>avec capital</t>
    </r>
    <r>
      <rPr>
        <b/>
        <sz val="11"/>
        <rFont val="Arial"/>
        <family val="2"/>
      </rPr>
      <t>= t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>(1-t</t>
    </r>
    <r>
      <rPr>
        <b/>
        <vertAlign val="subscript"/>
        <sz val="11"/>
        <rFont val="Arial"/>
        <family val="2"/>
      </rPr>
      <t>k</t>
    </r>
    <r>
      <rPr>
        <b/>
        <sz val="11"/>
        <rFont val="Arial"/>
        <family val="2"/>
      </rPr>
      <t>)/(1+t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>)</t>
    </r>
  </si>
  <si>
    <t>Donnée ou Formule</t>
  </si>
  <si>
    <r>
      <t>t</t>
    </r>
    <r>
      <rPr>
        <b/>
        <vertAlign val="subscript"/>
        <sz val="12"/>
        <rFont val="Times New Roman"/>
        <family val="1"/>
      </rPr>
      <t>c</t>
    </r>
  </si>
  <si>
    <r>
      <t>t'</t>
    </r>
    <r>
      <rPr>
        <b/>
        <vertAlign val="subscript"/>
        <sz val="12"/>
        <rFont val="Times New Roman"/>
        <family val="1"/>
      </rPr>
      <t xml:space="preserve">c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) </t>
    </r>
  </si>
  <si>
    <t>Taux d'impôt grevant le capital en pourcent du bénéfice avec un taux de rendement de 50% (Capital de deux millions, Bénéfice d'un million)</t>
  </si>
  <si>
    <r>
      <t>t</t>
    </r>
    <r>
      <rPr>
        <b/>
        <vertAlign val="subscript"/>
        <sz val="12"/>
        <rFont val="Times New Roman"/>
        <family val="1"/>
      </rPr>
      <t>k compté à double</t>
    </r>
  </si>
  <si>
    <r>
      <t>t'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 compté à double</t>
    </r>
  </si>
  <si>
    <t>Tableau 3 : Synthése du calcul des taux effectifs et nominaux d'imposition des sociétés pour le calcul des EMTR et comparaison aux données de la charge fiscale</t>
  </si>
  <si>
    <t>Tableau 4 : Comparaison des montants d'impot effectifs calculés et des montants de la publication de la charge fiscale</t>
  </si>
  <si>
    <t>Tableau 5 : Récapitulatif des montants effectifs d'impôt à payer sur le bénéfice et le capital avec un bénéfice d'un million et un capital de deux millions</t>
  </si>
  <si>
    <t>Tableau 8 : Détail du calcul des taux effectif d'imposition avec imposition du capital</t>
  </si>
  <si>
    <t>Tableau 9 :  Calcul du taux d'imposition global effectif (sans impôt sur le capital)</t>
  </si>
  <si>
    <t>Tableau 11 : Calcul du taux d'imposition global nominal des sociétés (Confédération, canton, commune, paroisse)</t>
  </si>
  <si>
    <t>Tableau 10 : Calcul du taux d'imposition maximal global  avec ou sans impôt sur le capital et en pourcentage ou non du bénéfice</t>
  </si>
  <si>
    <t>Tableau 12 : Calcul du taux d'imposition global nominal grevant l'actif net des sociétés (Confédération, cantons, communes, paroisses) en pourcentage du capital</t>
  </si>
  <si>
    <t>Tableau 13 : Multiplicateur à Zurich                                         (Personnes Morales)</t>
  </si>
  <si>
    <t>Tableau 14 : Barèmes de l'imposition du bénéfice</t>
  </si>
  <si>
    <t>Tableau 15 : Barèmes de l'imposition du capital</t>
  </si>
  <si>
    <t>Tableau 2 : Récapitulatif des taux à prendre en compte pour le calcul des EMTR</t>
  </si>
  <si>
    <t>Le tableau suivant récapitule les données légales à dispositions.</t>
  </si>
  <si>
    <t>Synthése du calcul des taux effectifs et nominaux d'imposition des sociétés pour le calcul des EMTR et comparaison aux données de la charge fiscale</t>
  </si>
  <si>
    <t>Calcul des taux d'imposition effectifs et nominaux à Zürich pour un taux de rendement de 50% et dans l'objectif du calcul des EMTR</t>
  </si>
  <si>
    <t>Comparaison des montants d'impot effectifs calculés et des montants de la publication de la charge fiscale</t>
  </si>
  <si>
    <t>Récapitulatif des montants effectifs d'impôt à payer sur le bénéfice et le capital avec un bénéfice d'un million et un capital de deux millions</t>
  </si>
  <si>
    <t>Détail du calcul des taux effectif d'imposition avec imposition du capital</t>
  </si>
  <si>
    <t>Calcul du taux d'imposition global effectif (sans impôt sur le capital)</t>
  </si>
  <si>
    <t xml:space="preserve"> Calcul du taux d'imposition maximal global  avec ou sans impôt sur le capital et en pourcentage ou non du bénéfice</t>
  </si>
  <si>
    <t>Calcul du taux d'imposition global nominal des sociétés (Confédération, canton, commune, paroisse)</t>
  </si>
  <si>
    <t>0.15% sur toute la période</t>
  </si>
  <si>
    <t>10% à compter de 1999                              12% de 1991 à 1998</t>
  </si>
  <si>
    <t>L'impôt sur le capital des sociétés</t>
  </si>
  <si>
    <t>Type de barème</t>
  </si>
  <si>
    <t>Barème à plusieurs paliers selon l'intensité de rendement</t>
  </si>
  <si>
    <t>Impôt proportionnel</t>
  </si>
  <si>
    <t>Imposition du bénéfice</t>
  </si>
  <si>
    <t>Imposition du capital</t>
  </si>
  <si>
    <t>Inchangé</t>
  </si>
  <si>
    <t>Diminution de 2% à partir de 1999</t>
  </si>
  <si>
    <t>Récapitulatif des changements sur la période sous revue</t>
  </si>
  <si>
    <t>Pas d'impôt</t>
  </si>
  <si>
    <t>9.8 % du total du bénéfice net</t>
  </si>
  <si>
    <t xml:space="preserve">L'impôt sur le bénéfice des sociétés </t>
  </si>
  <si>
    <t>Période 1991-1997</t>
  </si>
  <si>
    <t>Période à compter de 1998</t>
  </si>
  <si>
    <t>Descriptif de l'imposition du bénéfice</t>
  </si>
  <si>
    <t>-</t>
  </si>
  <si>
    <t>Impôt proportionnel sur le bénéfice</t>
  </si>
  <si>
    <t>Descriptif de l'imposition du capital</t>
  </si>
  <si>
    <t xml:space="preserve">Taux </t>
  </si>
  <si>
    <t>Diminution de 1.3% à partir de 1998</t>
  </si>
  <si>
    <t>Disparaît à partir de 1998</t>
  </si>
  <si>
    <t>Pour un taux de rendement des sociétés de 50%</t>
  </si>
  <si>
    <t>(20) Taux légal de l'impôt sur le capital</t>
  </si>
  <si>
    <t>Le tableau indique la méthode de calcul pas à pas.</t>
  </si>
  <si>
    <t xml:space="preserve">Récapitulatif des taux effectifs d'impôt grevant le bénéfice et le capital </t>
  </si>
  <si>
    <t xml:space="preserve">Tableau 6 : Récapitulatif des taux effectifs d'impôt grevant le bénéfice et le capital </t>
  </si>
  <si>
    <t>Résumé du calcul des taux effectifs d'impositions y compris l'imposition du capital</t>
  </si>
  <si>
    <t>Tableau 7 : Résumé du calcul des taux effectifs d'impositions y compris l'imposition du capital</t>
  </si>
  <si>
    <r>
      <t>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(1-t') +t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 xml:space="preserve">                                         ou encore  : 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+t</t>
    </r>
    <r>
      <rPr>
        <b/>
        <vertAlign val="subscript"/>
        <sz val="12"/>
        <rFont val="Times New Roman"/>
        <family val="1"/>
      </rPr>
      <t>kr</t>
    </r>
  </si>
  <si>
    <t xml:space="preserve"> Calcul du taux d'imposition global nominal grevant l'actif net des sociétés (Confédération, cantons, communes, paroisses) en pourcentage du capital</t>
  </si>
  <si>
    <t>Barèmes de l'imposition du bénéfice</t>
  </si>
  <si>
    <t>Les barèmes d'imposition des sociétés à Zürich de 1991 à nos jours</t>
  </si>
  <si>
    <t>Le barème fédéral d'imposition des sociétés de 1991 à nos jours</t>
  </si>
  <si>
    <t>Calcul du taux de base d’imposition du bénéfice et du capital au niveau régional</t>
  </si>
  <si>
    <t>Méthode 1 de calcul du taux cantonal de base d'imposition des sociétés (y compris le taux d'impôt sur le capital)</t>
  </si>
  <si>
    <t>Méthode 1 du calcul du taux fédéral d'imposition des sociétés (y compris le taux d'impôt sur le capital)</t>
  </si>
  <si>
    <t>Méthode 2 du calcul du taux fédéral d'imposition des sociétés (y compris le taux d'impôt sur le capital)</t>
  </si>
  <si>
    <t>1_Les 4 cas'!A1</t>
  </si>
  <si>
    <t>Table de synthèse des tableaux'!A1</t>
  </si>
  <si>
    <t>2_Recap Taux pour EMTR'!A1</t>
  </si>
  <si>
    <t>3_Synthèse calcul taux_et cfis'!A1</t>
  </si>
  <si>
    <t>4_Comp_montant_charge fiscal'!A1</t>
  </si>
  <si>
    <t>5_Calcul des montants d''impôt'!A1</t>
  </si>
  <si>
    <t>6_Recap  t'' pour montant'!A1</t>
  </si>
  <si>
    <t>7_ t'' pour version texte'!A1</t>
  </si>
  <si>
    <t>8_Calcul des t'' avec capital'!A1</t>
  </si>
  <si>
    <t>9_Calcul des t'' sans capital'!A1</t>
  </si>
  <si>
    <t>10_Recap_ tc et tk nominaux'!A1</t>
  </si>
  <si>
    <t>11_tc_Taux nominal bénéfice'!A1</t>
  </si>
  <si>
    <t>12_tk_Taux nominal capital'!A1</t>
  </si>
  <si>
    <t>13_Multiplicateurs '!A1</t>
  </si>
  <si>
    <t>14_ Données taux bénéfice'!A1</t>
  </si>
  <si>
    <t>15_Données taux capital'!A1</t>
  </si>
  <si>
    <t>Multiplicateur (Personnes Morales)</t>
  </si>
  <si>
    <t>Taux de base au niveau régional</t>
  </si>
  <si>
    <t>Numéro de tableau, de graphique ou de documentation</t>
  </si>
  <si>
    <t>Taux global effectif d'imposition du bénéfice sans capital</t>
  </si>
  <si>
    <t>Propre Calcul</t>
  </si>
  <si>
    <t>Publication Charge fiscale</t>
  </si>
  <si>
    <t xml:space="preserve">Source : Un aperçu du système fiscal Suisse (AFC) Service de documentation Berne </t>
  </si>
  <si>
    <t>Source : Un aperçu du système fiscal Suisse (AFC) Service de documentation Berne</t>
  </si>
  <si>
    <t>(1) Taux effectif global d'imposition des sociétés avec impôt sur le capital (Déductions comprises) Publication de la charge fiscale</t>
  </si>
  <si>
    <r>
      <t>t' = (t</t>
    </r>
    <r>
      <rPr>
        <b/>
        <vertAlign val="subscript"/>
        <sz val="13"/>
        <rFont val="Times New Roman"/>
        <family val="1"/>
      </rPr>
      <t>c</t>
    </r>
    <r>
      <rPr>
        <b/>
        <sz val="13"/>
        <rFont val="Times New Roman"/>
        <family val="1"/>
      </rPr>
      <t>+t</t>
    </r>
    <r>
      <rPr>
        <b/>
        <vertAlign val="subscript"/>
        <sz val="13"/>
        <rFont val="Times New Roman"/>
        <family val="1"/>
      </rPr>
      <t>k</t>
    </r>
    <r>
      <rPr>
        <b/>
        <sz val="13"/>
        <rFont val="Times New Roman"/>
        <family val="1"/>
      </rPr>
      <t>)/(1+t</t>
    </r>
    <r>
      <rPr>
        <b/>
        <vertAlign val="subscript"/>
        <sz val="13"/>
        <rFont val="Times New Roman"/>
        <family val="1"/>
      </rPr>
      <t>c</t>
    </r>
    <r>
      <rPr>
        <b/>
        <sz val="13"/>
        <rFont val="Times New Roman"/>
        <family val="1"/>
      </rPr>
      <t>)</t>
    </r>
    <r>
      <rPr>
        <b/>
        <sz val="10"/>
        <rFont val="Times New Roman"/>
        <family val="1"/>
      </rPr>
      <t xml:space="preserve">                                    Ici données de la charge fiscale en Suisse</t>
    </r>
  </si>
  <si>
    <t>(2) Bénéfice net avant impôt</t>
  </si>
  <si>
    <t>(3) Capital</t>
  </si>
  <si>
    <t xml:space="preserve">(4) Taux de rendement </t>
  </si>
  <si>
    <t>(5) Inverse du taux de rendement</t>
  </si>
  <si>
    <t>(6) Multiples pour l'imposition du bénéfice et du capital au niveau régional</t>
  </si>
  <si>
    <t>(7) Taux d'impôt fédéral sur le capital en pourcentage du capital</t>
  </si>
  <si>
    <t>(8) Taux d'imposition fédéral du capital en pourcentage du bénéfice</t>
  </si>
  <si>
    <t>(9) Taux légal régional d'imposition du capital en pourcentage du capital</t>
  </si>
  <si>
    <t>(10) Taux régional d'imposition du capital en pourcentage du capital</t>
  </si>
  <si>
    <t>(11) Taux régional d'imposition du capital en pourcentage du bénéfice</t>
  </si>
  <si>
    <t>(12) Taux nominal d'imposition du capital (fédéral et régional) en pourcentage du capital</t>
  </si>
  <si>
    <t>(13) Taux nominal d'imposition du capital (fédéral et régional) en pourcentage du bénéfice</t>
  </si>
  <si>
    <t>(14) Taux nominal d'imposition du bénéfice</t>
  </si>
  <si>
    <r>
      <t>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=(t’-t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)/(1-t’)</t>
    </r>
  </si>
  <si>
    <t>(15) Taux maximal d'imposition du bénéfice au niveau fédéral</t>
  </si>
  <si>
    <t>(16) Taux maximal régional d'imposition du bénéfice</t>
  </si>
  <si>
    <r>
      <t>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- t</t>
    </r>
    <r>
      <rPr>
        <b/>
        <vertAlign val="subscript"/>
        <sz val="12"/>
        <rFont val="Times New Roman"/>
        <family val="1"/>
      </rPr>
      <t>cf</t>
    </r>
  </si>
  <si>
    <t>(17)  Taux de base d'imposition du bénéfice au niveau régional</t>
  </si>
  <si>
    <r>
      <t>t</t>
    </r>
    <r>
      <rPr>
        <b/>
        <vertAlign val="subscript"/>
        <sz val="12"/>
        <rFont val="Times New Roman"/>
        <family val="1"/>
      </rPr>
      <t>b_légal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cr </t>
    </r>
    <r>
      <rPr>
        <b/>
        <sz val="12"/>
        <rFont val="Times New Roman"/>
        <family val="1"/>
      </rPr>
      <t xml:space="preserve">/ M </t>
    </r>
  </si>
  <si>
    <t>(7)  Taux de base d'imposition du bénéfice au niveau régional</t>
  </si>
  <si>
    <r>
      <t>t</t>
    </r>
    <r>
      <rPr>
        <b/>
        <vertAlign val="subscript"/>
        <sz val="12"/>
        <rFont val="Times New Roman"/>
        <family val="1"/>
      </rPr>
      <t>b_légal</t>
    </r>
  </si>
  <si>
    <t>(8) Taux maximal régional d'imposition du bénéfice</t>
  </si>
  <si>
    <r>
      <t>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= M*t</t>
    </r>
    <r>
      <rPr>
        <b/>
        <vertAlign val="subscript"/>
        <sz val="12"/>
        <rFont val="Times New Roman"/>
        <family val="1"/>
      </rPr>
      <t>b_légal</t>
    </r>
  </si>
  <si>
    <t>(9) Taux maximal d'imposition du bénéfice au niveau fédéral</t>
  </si>
  <si>
    <t>(10) Taux d'imposition global maximal d'imposition du bénéfice</t>
  </si>
  <si>
    <r>
      <t>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+t</t>
    </r>
    <r>
      <rPr>
        <b/>
        <vertAlign val="subscript"/>
        <sz val="12"/>
        <rFont val="Times New Roman"/>
        <family val="1"/>
      </rPr>
      <t>cr</t>
    </r>
  </si>
  <si>
    <t>(11) Taux d'imposition global du capital en pourcentage du bénéfice</t>
  </si>
  <si>
    <r>
      <t>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k/B</t>
    </r>
    <r>
      <rPr>
        <b/>
        <sz val="12"/>
        <rFont val="Times New Roman"/>
        <family val="1"/>
      </rPr>
      <t>=t'(1+t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)-t</t>
    </r>
    <r>
      <rPr>
        <b/>
        <vertAlign val="subscript"/>
        <sz val="12"/>
        <rFont val="Times New Roman"/>
        <family val="1"/>
      </rPr>
      <t>c</t>
    </r>
  </si>
  <si>
    <t>(12) Taux d'impôt fédéral sur le capital en pourcentage du capital</t>
  </si>
  <si>
    <t>(13) Taux d'imposition fédéral du capital en pourcentage du bénéfice</t>
  </si>
  <si>
    <r>
      <t>t</t>
    </r>
    <r>
      <rPr>
        <b/>
        <vertAlign val="subscript"/>
        <sz val="12"/>
        <rFont val="Times New Roman"/>
        <family val="1"/>
      </rPr>
      <t>kf/B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kf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>kf_légal</t>
    </r>
    <r>
      <rPr>
        <b/>
        <sz val="12"/>
        <rFont val="Times New Roman"/>
        <family val="1"/>
      </rPr>
      <t xml:space="preserve"> * 1/r</t>
    </r>
  </si>
  <si>
    <r>
      <t>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 xml:space="preserve"> = t</t>
    </r>
    <r>
      <rPr>
        <b/>
        <vertAlign val="subscript"/>
        <sz val="12"/>
        <rFont val="Times New Roman"/>
        <family val="1"/>
      </rPr>
      <t xml:space="preserve">kr/B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- t</t>
    </r>
    <r>
      <rPr>
        <b/>
        <vertAlign val="subscript"/>
        <sz val="12"/>
        <rFont val="Times New Roman"/>
        <family val="1"/>
      </rPr>
      <t>kf</t>
    </r>
  </si>
  <si>
    <t>*</t>
  </si>
  <si>
    <t>(15) Taux régional d'imposition du capital en pourcentage du capital</t>
  </si>
  <si>
    <r>
      <t xml:space="preserve"> </t>
    </r>
    <r>
      <rPr>
        <b/>
        <sz val="12"/>
        <color indexed="8"/>
        <rFont val="Times New Roman"/>
        <family val="1"/>
      </rPr>
      <t>t</t>
    </r>
    <r>
      <rPr>
        <b/>
        <vertAlign val="subscript"/>
        <sz val="12"/>
        <color indexed="8"/>
        <rFont val="Times New Roman"/>
        <family val="1"/>
      </rPr>
      <t>kr/k</t>
    </r>
    <r>
      <rPr>
        <b/>
        <sz val="12"/>
        <color indexed="8"/>
        <rFont val="Times New Roman"/>
        <family val="1"/>
      </rPr>
      <t xml:space="preserve"> = t</t>
    </r>
    <r>
      <rPr>
        <b/>
        <vertAlign val="subscript"/>
        <sz val="12"/>
        <color indexed="8"/>
        <rFont val="Times New Roman"/>
        <family val="1"/>
      </rPr>
      <t>kr/B</t>
    </r>
    <r>
      <rPr>
        <b/>
        <sz val="12"/>
        <color indexed="8"/>
        <rFont val="Times New Roman"/>
        <family val="1"/>
      </rPr>
      <t xml:space="preserve"> / (1/r)</t>
    </r>
  </si>
  <si>
    <t>(16) Taux légal régional de base d'imposition du capital en pourcentage du capital</t>
  </si>
  <si>
    <r>
      <t>t</t>
    </r>
    <r>
      <rPr>
        <b/>
        <vertAlign val="subscript"/>
        <sz val="12"/>
        <color indexed="8"/>
        <rFont val="Times New Roman"/>
        <family val="1"/>
      </rPr>
      <t xml:space="preserve">kr_légal = </t>
    </r>
    <r>
      <rPr>
        <b/>
        <sz val="12"/>
        <color indexed="8"/>
        <rFont val="Times New Roman"/>
        <family val="1"/>
      </rPr>
      <t>t</t>
    </r>
    <r>
      <rPr>
        <b/>
        <vertAlign val="subscript"/>
        <sz val="12"/>
        <color indexed="8"/>
        <rFont val="Times New Roman"/>
        <family val="1"/>
      </rPr>
      <t xml:space="preserve">kr_légal/k </t>
    </r>
    <r>
      <rPr>
        <b/>
        <sz val="12"/>
        <color indexed="8"/>
        <rFont val="Times New Roman"/>
        <family val="1"/>
      </rPr>
      <t>= t</t>
    </r>
    <r>
      <rPr>
        <b/>
        <vertAlign val="subscript"/>
        <sz val="12"/>
        <color indexed="8"/>
        <rFont val="Times New Roman"/>
        <family val="1"/>
      </rPr>
      <t>kr/k</t>
    </r>
    <r>
      <rPr>
        <b/>
        <sz val="12"/>
        <color indexed="8"/>
        <rFont val="Times New Roman"/>
        <family val="1"/>
      </rPr>
      <t xml:space="preserve"> / M</t>
    </r>
  </si>
  <si>
    <t>(17) Donnée théorique estimée à partir de la législation fiscale</t>
  </si>
  <si>
    <t>Provenant du tableau  ?</t>
  </si>
  <si>
    <t>(18) Ecart d'estimation</t>
  </si>
  <si>
    <r>
      <t>t</t>
    </r>
    <r>
      <rPr>
        <vertAlign val="sub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= 12.8%</t>
    </r>
  </si>
  <si>
    <t>En réalité il est égal à 10%</t>
  </si>
  <si>
    <t xml:space="preserve">Ici nous devons tenir compte du fait que le taux ne peut excéder 10%. </t>
  </si>
  <si>
    <t>Pour cela résoudre l'équation :</t>
  </si>
  <si>
    <t xml:space="preserve">Donc r = </t>
  </si>
  <si>
    <t>10% =  14% - 0.6%/r</t>
  </si>
  <si>
    <t>0.6%/4%</t>
  </si>
  <si>
    <t>A partir de quel taux de rendement on atteint le 10% ?</t>
  </si>
  <si>
    <t>(1) Capital</t>
  </si>
  <si>
    <r>
      <t>t</t>
    </r>
    <r>
      <rPr>
        <b/>
        <vertAlign val="subscript"/>
        <sz val="12"/>
        <rFont val="Times New Roman"/>
        <family val="1"/>
      </rPr>
      <t>kr_base/k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kr_base</t>
    </r>
    <r>
      <rPr>
        <b/>
        <sz val="12"/>
        <rFont val="Times New Roman"/>
        <family val="1"/>
      </rPr>
      <t>/K</t>
    </r>
  </si>
  <si>
    <r>
      <t>t</t>
    </r>
    <r>
      <rPr>
        <b/>
        <vertAlign val="subscript"/>
        <sz val="12"/>
        <rFont val="Times New Roman"/>
        <family val="1"/>
      </rPr>
      <t>kr/k</t>
    </r>
    <r>
      <rPr>
        <b/>
        <sz val="12"/>
        <rFont val="Times New Roman"/>
        <family val="1"/>
      </rPr>
      <t>= M*t</t>
    </r>
    <r>
      <rPr>
        <b/>
        <vertAlign val="subscript"/>
        <sz val="12"/>
        <rFont val="Times New Roman"/>
        <family val="1"/>
      </rPr>
      <t>kr_base/k</t>
    </r>
  </si>
  <si>
    <r>
      <t>t</t>
    </r>
    <r>
      <rPr>
        <b/>
        <vertAlign val="subscript"/>
        <sz val="12"/>
        <rFont val="Times New Roman"/>
        <family val="1"/>
      </rPr>
      <t>kr_base</t>
    </r>
    <r>
      <rPr>
        <b/>
        <sz val="12"/>
        <rFont val="Times New Roman"/>
        <family val="1"/>
      </rPr>
      <t>=T</t>
    </r>
    <r>
      <rPr>
        <b/>
        <vertAlign val="subscript"/>
        <sz val="12"/>
        <rFont val="Times New Roman"/>
        <family val="1"/>
      </rPr>
      <t>kr_base/B</t>
    </r>
  </si>
  <si>
    <r>
      <t>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>= M*t</t>
    </r>
    <r>
      <rPr>
        <b/>
        <vertAlign val="subscript"/>
        <sz val="12"/>
        <rFont val="Times New Roman"/>
        <family val="1"/>
      </rPr>
      <t>kr_base</t>
    </r>
  </si>
  <si>
    <r>
      <t>T</t>
    </r>
    <r>
      <rPr>
        <b/>
        <vertAlign val="subscript"/>
        <sz val="12"/>
        <rFont val="Times New Roman"/>
        <family val="1"/>
      </rPr>
      <t xml:space="preserve">k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kr</t>
    </r>
    <r>
      <rPr>
        <b/>
        <sz val="12"/>
        <rFont val="Times New Roman"/>
        <family val="1"/>
      </rPr>
      <t>*B</t>
    </r>
  </si>
  <si>
    <t>Uniquement disponible pour le cas d'un capital d'un million</t>
  </si>
  <si>
    <t xml:space="preserve"> </t>
  </si>
  <si>
    <r>
      <t>t</t>
    </r>
    <r>
      <rPr>
        <b/>
        <vertAlign val="subscript"/>
        <sz val="12"/>
        <rFont val="Times New Roman"/>
        <family val="1"/>
      </rPr>
      <t>kr_base</t>
    </r>
  </si>
  <si>
    <r>
      <t>T</t>
    </r>
    <r>
      <rPr>
        <b/>
        <vertAlign val="subscript"/>
        <sz val="12"/>
        <rFont val="Times New Roman"/>
        <family val="1"/>
      </rPr>
      <t>kr_base</t>
    </r>
  </si>
  <si>
    <t>(2) Taxe</t>
  </si>
  <si>
    <t>(3) Premier montant d'impôt              (1)*(2)</t>
  </si>
  <si>
    <t>(4) Taux de base d'imposition  (3)/(1) en pourcentage du capital</t>
  </si>
  <si>
    <t>(5) Multiple</t>
  </si>
  <si>
    <t>(6) Taux d'imposition du capital en pourcentage du capital</t>
  </si>
  <si>
    <t>(7) Bénéfice</t>
  </si>
  <si>
    <t>(8) Taux de base d'imposition du capital en pourcentage du bénéfice (3)/(7)</t>
  </si>
  <si>
    <t>(9) Taux d'imposition du capital en pourcentage du bénéfice</t>
  </si>
  <si>
    <t xml:space="preserve">(10) Montant nominal d'imposition du capital </t>
  </si>
  <si>
    <t>(11) Comparaison avec les données de la charge fiscale</t>
  </si>
  <si>
    <t>Tableau 16 : Calcul de l'impôt sur le capital à Zürich pour un capital de deux millions et pour un capital d'un million de 1991 à nos jours</t>
  </si>
  <si>
    <t>Calcul de l'impôt sur le capital à Zürich pour un capital de deux millions et pour un capital d'un million de 1991 à nos jours</t>
  </si>
  <si>
    <t>17_Les taux nominaux d’imposition du bénéfice et du capital à Zürich</t>
  </si>
  <si>
    <t>Tableau 18 : Les barèmes d'imposition des sociétés à Zürich de 1991 à nos jours</t>
  </si>
  <si>
    <t>Tableau 19 : Le barème fédéral d'imposition des sociétés de 1991 à nos jours</t>
  </si>
  <si>
    <t>20_Calcul du taux de base d’imposition du bénéfice et du capital au niveau régional</t>
  </si>
  <si>
    <t>Tableau 21 : Méthode 1 de calcul du taux cantonal de base d'imposition des sociétés (y compris le taux d'impôt sur le capital)</t>
  </si>
  <si>
    <t>Tableau 22 : Méthode 2 de calcul du taux cantonal de base d'imposition des sociétés (y compris le taux d'impôt sur le capital)</t>
  </si>
  <si>
    <t>Tableau 23 : Méthode 1 du calcul du taux fédéral d'imposition des sociétés (y compris le taux d'impôt sur le capital)</t>
  </si>
  <si>
    <t>Tableau 24 : Méthode 2 du calcul du taux fédéral d'imposition des sociétés (y compris le taux d'impôt sur le capital)</t>
  </si>
  <si>
    <r>
      <t xml:space="preserve">Tableau 25 : Méthode pour retrouver le taux de base maximal d'imposition régional du bénéfice                                                          </t>
    </r>
    <r>
      <rPr>
        <b/>
        <sz val="12"/>
        <rFont val="Times New Roman"/>
        <family val="1"/>
      </rPr>
      <t xml:space="preserve">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=(t’-t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)/(1-t’) avec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=t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cr</t>
    </r>
  </si>
  <si>
    <r>
      <t xml:space="preserve">Tableau 26 : Méthode pour retrouver le taux de base d'imposition du capital                                                                           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= t'(1+t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-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 avec 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=t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cr</t>
    </r>
  </si>
  <si>
    <t>16_Calcul tk pour comp cfis'!A1</t>
  </si>
  <si>
    <t>17_Texte_Base légales'!A1</t>
  </si>
  <si>
    <t>18_Législation des taux canton'!A1</t>
  </si>
  <si>
    <t>19_Législation des taux_Conf'!A1</t>
  </si>
  <si>
    <t>20_Texte2_Calcul_Canton'!A1</t>
  </si>
  <si>
    <t>21_Calcul du taux de base M1'!A1</t>
  </si>
  <si>
    <t>Méthode 2 de calcul du taux cantonal de base d'imposition des sociétés (y compris le taux d'impôt sur le capital)</t>
  </si>
  <si>
    <t>22_Calcul du taux de base_M2'!A1</t>
  </si>
  <si>
    <t>23_conf calcul_M1'!A1</t>
  </si>
  <si>
    <t>24_conf_Calcul_M2'!A1</t>
  </si>
  <si>
    <t xml:space="preserve">Méthode pour retrouver le taux de base maximal d'imposition régional du bénéfice </t>
  </si>
  <si>
    <t>25_retrouver tb quand tk donné'!A1</t>
  </si>
  <si>
    <t xml:space="preserve">Méthode pour retrouver le taux de base d'imposition du capital   </t>
  </si>
  <si>
    <t>26_retrouver tk quand tc donné'!A1</t>
  </si>
  <si>
    <r>
      <t>t'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(1-t'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= t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/ 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</si>
  <si>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r>
      <t>t'</t>
    </r>
    <r>
      <rPr>
        <b/>
        <vertAlign val="subscript"/>
        <sz val="12"/>
        <rFont val="Times New Roman"/>
        <family val="1"/>
      </rPr>
      <t xml:space="preserve">cr </t>
    </r>
    <r>
      <rPr>
        <b/>
        <sz val="12"/>
        <rFont val="Times New Roman"/>
        <family val="1"/>
      </rPr>
      <t>= t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 xml:space="preserve"> (1-t'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= t</t>
    </r>
    <r>
      <rPr>
        <b/>
        <vertAlign val="subscript"/>
        <sz val="12"/>
        <rFont val="Times New Roman"/>
        <family val="1"/>
      </rPr>
      <t xml:space="preserve">cr </t>
    </r>
    <r>
      <rPr>
        <b/>
        <sz val="12"/>
        <rFont val="Times New Roman"/>
        <family val="1"/>
      </rPr>
      <t>/ 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</si>
  <si>
    <t>Nominal sans imposition du capital</t>
  </si>
  <si>
    <t xml:space="preserve"> Effectif sans imposition du capital</t>
  </si>
  <si>
    <t>Nominal avec imposition du capital</t>
  </si>
  <si>
    <t>Effectif avec imposition du capital</t>
  </si>
  <si>
    <t>Pour vérification</t>
  </si>
  <si>
    <t>Total charge fiscale calcul ici</t>
  </si>
  <si>
    <r>
      <t>t'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</t>
    </r>
  </si>
  <si>
    <t>Taux effectif (bénéfice et capital) calculé ailleurs</t>
  </si>
  <si>
    <r>
      <t xml:space="preserve">t' </t>
    </r>
    <r>
      <rPr>
        <b/>
        <vertAlign val="subscript"/>
        <sz val="12"/>
        <rFont val="Times New Roman"/>
        <family val="1"/>
      </rPr>
      <t>théorique</t>
    </r>
  </si>
  <si>
    <t>Données de la Charge fiscale</t>
  </si>
  <si>
    <t>différenc d'avec t'c avec capital</t>
  </si>
  <si>
    <r>
      <t>t'</t>
    </r>
    <r>
      <rPr>
        <b/>
        <vertAlign val="subscript"/>
        <sz val="12"/>
        <rFont val="Times New Roman"/>
        <family val="1"/>
      </rPr>
      <t xml:space="preserve"> charge fiscale</t>
    </r>
  </si>
  <si>
    <t>Ligne de zéro</t>
  </si>
  <si>
    <t>Différenc d'avec t'c avec capital</t>
  </si>
  <si>
    <r>
      <t xml:space="preserve">t' </t>
    </r>
    <r>
      <rPr>
        <b/>
        <vertAlign val="subscript"/>
        <sz val="12"/>
        <rFont val="Times New Roman"/>
        <family val="1"/>
      </rPr>
      <t>théorique</t>
    </r>
    <r>
      <rPr>
        <b/>
        <sz val="12"/>
        <rFont val="Times New Roman"/>
        <family val="1"/>
      </rPr>
      <t xml:space="preserve"> - t' </t>
    </r>
    <r>
      <rPr>
        <b/>
        <vertAlign val="subscript"/>
        <sz val="12"/>
        <rFont val="Times New Roman"/>
        <family val="1"/>
      </rPr>
      <t>calculé ici</t>
    </r>
  </si>
  <si>
    <t>Total des deux taux effectifs</t>
  </si>
  <si>
    <r>
      <t>t'</t>
    </r>
    <r>
      <rPr>
        <b/>
        <vertAlign val="subscript"/>
        <sz val="12"/>
        <rFont val="Times New Roman"/>
        <family val="1"/>
      </rPr>
      <t xml:space="preserve">cf </t>
    </r>
    <r>
      <rPr>
        <b/>
        <sz val="12"/>
        <rFont val="Times New Roman"/>
        <family val="1"/>
      </rPr>
      <t>+ t'</t>
    </r>
    <r>
      <rPr>
        <b/>
        <vertAlign val="subscript"/>
        <sz val="12"/>
        <rFont val="Times New Roman"/>
        <family val="1"/>
      </rPr>
      <t>cr</t>
    </r>
  </si>
  <si>
    <t>Différence avec le t'c</t>
  </si>
  <si>
    <t>(6)-(7)-(8)</t>
  </si>
  <si>
    <r>
      <t xml:space="preserve">t' </t>
    </r>
    <r>
      <rPr>
        <b/>
        <vertAlign val="subscript"/>
        <sz val="12"/>
        <rFont val="Times New Roman"/>
        <family val="1"/>
      </rPr>
      <t>théorique</t>
    </r>
    <r>
      <rPr>
        <b/>
        <sz val="12"/>
        <rFont val="Times New Roman"/>
        <family val="1"/>
      </rPr>
      <t>= (t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)                                       </t>
    </r>
  </si>
  <si>
    <r>
      <t xml:space="preserve">t' </t>
    </r>
    <r>
      <rPr>
        <b/>
        <vertAlign val="subscript"/>
        <sz val="12"/>
        <rFont val="Times New Roman"/>
        <family val="1"/>
      </rPr>
      <t>théorique</t>
    </r>
    <r>
      <rPr>
        <b/>
        <sz val="12"/>
        <rFont val="Times New Roman"/>
        <family val="1"/>
      </rPr>
      <t>= (t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)                                                       </t>
    </r>
  </si>
  <si>
    <t>Calculé dans la feuille précédente</t>
  </si>
  <si>
    <r>
      <t>t'</t>
    </r>
    <r>
      <rPr>
        <b/>
        <vertAlign val="subscript"/>
        <sz val="12"/>
        <rFont val="Times New Roman"/>
        <family val="1"/>
      </rPr>
      <t xml:space="preserve">f </t>
    </r>
    <r>
      <rPr>
        <b/>
        <sz val="12"/>
        <rFont val="Times New Roman"/>
        <family val="1"/>
      </rPr>
      <t>= ( t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 xml:space="preserve"> 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 + t</t>
    </r>
    <r>
      <rPr>
        <b/>
        <vertAlign val="subscript"/>
        <sz val="12"/>
        <rFont val="Times New Roman"/>
        <family val="1"/>
      </rPr>
      <t>kf</t>
    </r>
  </si>
  <si>
    <t>La différence doit être nulle</t>
  </si>
  <si>
    <r>
      <t>t'</t>
    </r>
    <r>
      <rPr>
        <b/>
        <vertAlign val="subscript"/>
        <sz val="12"/>
        <rFont val="Times New Roman"/>
        <family val="1"/>
      </rPr>
      <t>r</t>
    </r>
    <r>
      <rPr>
        <b/>
        <sz val="12"/>
        <rFont val="Times New Roman"/>
        <family val="1"/>
      </rPr>
      <t>=  t</t>
    </r>
    <r>
      <rPr>
        <b/>
        <vertAlign val="subscript"/>
        <sz val="12"/>
        <rFont val="Times New Roman"/>
        <family val="1"/>
      </rPr>
      <t xml:space="preserve">cr </t>
    </r>
    <r>
      <rPr>
        <b/>
        <sz val="12"/>
        <rFont val="Times New Roman"/>
        <family val="1"/>
      </rPr>
      <t>(1-t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)/(1+t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 +t</t>
    </r>
    <r>
      <rPr>
        <b/>
        <vertAlign val="subscript"/>
        <sz val="12"/>
        <rFont val="Times New Roman"/>
        <family val="1"/>
      </rPr>
      <t>kr</t>
    </r>
  </si>
  <si>
    <t xml:space="preserve">Taux d'impôt fédéral sur le capital </t>
  </si>
  <si>
    <t>Taux d'impôt fédéral sur le bénéfice</t>
  </si>
  <si>
    <t>Taux d'impôt global sur le capital</t>
  </si>
  <si>
    <t>Taux d'impôt global sur le bénéfice</t>
  </si>
  <si>
    <t>Taux d'impôt régional sur le capital</t>
  </si>
  <si>
    <r>
      <t>t</t>
    </r>
    <r>
      <rPr>
        <b/>
        <vertAlign val="subscript"/>
        <sz val="12"/>
        <rFont val="Times New Roman"/>
        <family val="1"/>
      </rPr>
      <t>cr</t>
    </r>
  </si>
  <si>
    <t>Taux d'impôt régional sur le bénéfice</t>
  </si>
  <si>
    <t>Passage du taux fédéral avec capital au taux fédéral sans capital. Calcul du taux avec capital</t>
  </si>
  <si>
    <t>Passage du taux régional avec capital au taux régional sans capital. Calcul du taux avec capital</t>
  </si>
  <si>
    <r>
      <t>t</t>
    </r>
    <r>
      <rPr>
        <b/>
        <vertAlign val="subscript"/>
        <sz val="12"/>
        <rFont val="Times New Roman"/>
        <family val="1"/>
      </rPr>
      <t>kf</t>
    </r>
  </si>
  <si>
    <r>
      <t>t</t>
    </r>
    <r>
      <rPr>
        <b/>
        <vertAlign val="subscript"/>
        <sz val="12"/>
        <rFont val="Times New Roman"/>
        <family val="1"/>
      </rPr>
      <t>k</t>
    </r>
  </si>
  <si>
    <r>
      <t xml:space="preserve">t' </t>
    </r>
    <r>
      <rPr>
        <b/>
        <vertAlign val="subscript"/>
        <sz val="12"/>
        <rFont val="Times New Roman"/>
        <family val="1"/>
      </rPr>
      <t>théorique</t>
    </r>
    <r>
      <rPr>
        <b/>
        <sz val="12"/>
        <rFont val="Times New Roman"/>
        <family val="1"/>
      </rPr>
      <t xml:space="preserve"> - t' </t>
    </r>
    <r>
      <rPr>
        <b/>
        <vertAlign val="subscript"/>
        <sz val="12"/>
        <rFont val="Times New Roman"/>
        <family val="1"/>
      </rPr>
      <t>c avec capital</t>
    </r>
  </si>
  <si>
    <r>
      <t>t'</t>
    </r>
    <r>
      <rPr>
        <b/>
        <vertAlign val="subscript"/>
        <sz val="12"/>
        <rFont val="Times New Roman"/>
        <family val="1"/>
      </rPr>
      <t xml:space="preserve">r avec capital </t>
    </r>
    <r>
      <rPr>
        <b/>
        <sz val="12"/>
        <rFont val="Times New Roman"/>
        <family val="1"/>
      </rPr>
      <t>= t'</t>
    </r>
    <r>
      <rPr>
        <b/>
        <vertAlign val="subscript"/>
        <sz val="12"/>
        <rFont val="Times New Roman"/>
        <family val="1"/>
      </rPr>
      <t>cr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 xml:space="preserve">kr  -  </t>
    </r>
    <r>
      <rPr>
        <b/>
        <sz val="12"/>
        <rFont val="Times New Roman"/>
        <family val="1"/>
      </rPr>
      <t>((t</t>
    </r>
    <r>
      <rPr>
        <b/>
        <vertAlign val="subscript"/>
        <sz val="12"/>
        <rFont val="Times New Roman"/>
        <family val="1"/>
      </rPr>
      <t>cr*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</t>
    </r>
  </si>
  <si>
    <r>
      <t>t'</t>
    </r>
    <r>
      <rPr>
        <b/>
        <vertAlign val="subscript"/>
        <sz val="12"/>
        <rFont val="Times New Roman"/>
        <family val="1"/>
      </rPr>
      <t xml:space="preserve">f avec capital </t>
    </r>
    <r>
      <rPr>
        <b/>
        <sz val="12"/>
        <rFont val="Times New Roman"/>
        <family val="1"/>
      </rPr>
      <t>= t'</t>
    </r>
    <r>
      <rPr>
        <b/>
        <vertAlign val="subscript"/>
        <sz val="12"/>
        <rFont val="Times New Roman"/>
        <family val="1"/>
      </rPr>
      <t>cf</t>
    </r>
    <r>
      <rPr>
        <b/>
        <sz val="12"/>
        <rFont val="Times New Roman"/>
        <family val="1"/>
      </rPr>
      <t>+t</t>
    </r>
    <r>
      <rPr>
        <b/>
        <vertAlign val="subscript"/>
        <sz val="12"/>
        <rFont val="Times New Roman"/>
        <family val="1"/>
      </rPr>
      <t xml:space="preserve">kf  -  </t>
    </r>
    <r>
      <rPr>
        <b/>
        <sz val="12"/>
        <rFont val="Times New Roman"/>
        <family val="1"/>
      </rPr>
      <t>((t</t>
    </r>
    <r>
      <rPr>
        <b/>
        <vertAlign val="subscript"/>
        <sz val="12"/>
        <rFont val="Times New Roman"/>
        <family val="1"/>
      </rPr>
      <t>cf*</t>
    </r>
    <r>
      <rPr>
        <b/>
        <sz val="12"/>
        <rFont val="Times New Roman"/>
        <family val="1"/>
      </rPr>
      <t>t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/(1+t</t>
    </r>
    <r>
      <rPr>
        <b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>))</t>
    </r>
  </si>
  <si>
    <t>in :</t>
  </si>
  <si>
    <t xml:space="preserve">« Quels taux nominaux et effectifs d’imposition des sociétés suisses pour le calcul des coins fiscaux ? </t>
  </si>
  <si>
    <t xml:space="preserve">Le procédé de la déduction fiscale en Suisse sur l’exemple de Zürich et de Berne » </t>
  </si>
  <si>
    <t>Annexe 1 : Cas de Zürich</t>
  </si>
  <si>
    <t>Caroline Le Bourdonnec (2004)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</si>
</sst>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%"/>
    <numFmt numFmtId="165" formatCode="0.0000000000%"/>
    <numFmt numFmtId="166" formatCode="0.000%"/>
    <numFmt numFmtId="167" formatCode="0.0000000000000%"/>
    <numFmt numFmtId="168" formatCode="0.00000000000000000%"/>
    <numFmt numFmtId="169" formatCode="0.000000000000000%"/>
    <numFmt numFmtId="170" formatCode="0.0000%"/>
    <numFmt numFmtId="171" formatCode="0.00000%"/>
    <numFmt numFmtId="172" formatCode="0.0000000%"/>
    <numFmt numFmtId="173" formatCode="0.000000%"/>
    <numFmt numFmtId="174" formatCode="#,##0.0000"/>
    <numFmt numFmtId="175" formatCode="0.000"/>
    <numFmt numFmtId="176" formatCode="0.0"/>
    <numFmt numFmtId="177" formatCode="0.000000000000%"/>
    <numFmt numFmtId="178" formatCode="0.0000000000000000%"/>
    <numFmt numFmtId="179" formatCode="0.00000000000000%"/>
    <numFmt numFmtId="180" formatCode="0.00000000000%"/>
    <numFmt numFmtId="181" formatCode="0.000000000%"/>
    <numFmt numFmtId="182" formatCode="0.00000000%"/>
    <numFmt numFmtId="183" formatCode="0.0000000000"/>
    <numFmt numFmtId="184" formatCode="0.0000000"/>
    <numFmt numFmtId="185" formatCode="0.000000E+00"/>
    <numFmt numFmtId="186" formatCode="0.0000000E+00"/>
    <numFmt numFmtId="187" formatCode="0.00000E+00"/>
    <numFmt numFmtId="188" formatCode="0.00000000000"/>
    <numFmt numFmtId="189" formatCode="0.00000"/>
    <numFmt numFmtId="190" formatCode="0.0000"/>
    <numFmt numFmtId="191" formatCode="0.000000"/>
    <numFmt numFmtId="192" formatCode="0.000000000"/>
    <numFmt numFmtId="193" formatCode="0.00000000"/>
    <numFmt numFmtId="194" formatCode="&quot;Vrai&quot;;&quot;Vrai&quot;;&quot;Faux&quot;"/>
    <numFmt numFmtId="195" formatCode="&quot;Actif&quot;;&quot;Actif&quot;;&quot;Inactif&quot;"/>
    <numFmt numFmtId="196" formatCode="0.000000000000000000%"/>
  </numFmts>
  <fonts count="29">
    <font>
      <sz val="8"/>
      <name val="Arial"/>
      <family val="0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color indexed="62"/>
      <name val="Arial"/>
      <family val="0"/>
    </font>
    <font>
      <u val="single"/>
      <sz val="8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color indexed="8"/>
      <name val="Akzidenz Grotesk Light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vertAlign val="subscript"/>
      <sz val="10"/>
      <color indexed="8"/>
      <name val="Arial"/>
      <family val="2"/>
    </font>
    <font>
      <b/>
      <vertAlign val="subscript"/>
      <sz val="12"/>
      <color indexed="8"/>
      <name val="Times"/>
      <family val="1"/>
    </font>
    <font>
      <b/>
      <sz val="10"/>
      <color indexed="10"/>
      <name val="Arial"/>
      <family val="0"/>
    </font>
    <font>
      <b/>
      <sz val="12"/>
      <name val="Helvetica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3"/>
      <name val="Times New Roman"/>
      <family val="1"/>
    </font>
    <font>
      <b/>
      <vertAlign val="subscript"/>
      <sz val="13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10" fontId="2" fillId="4" borderId="1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66" fontId="2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0" fontId="0" fillId="0" borderId="0" xfId="21" applyNumberFormat="1" applyAlignment="1">
      <alignment/>
    </xf>
    <xf numFmtId="0" fontId="2" fillId="4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8" fillId="0" borderId="0" xfId="21" applyNumberFormat="1" applyFont="1" applyAlignment="1">
      <alignment vertical="center"/>
    </xf>
    <xf numFmtId="0" fontId="1" fillId="5" borderId="2" xfId="0" applyFont="1" applyFill="1" applyBorder="1" applyAlignment="1">
      <alignment horizontal="left" vertical="center" wrapText="1"/>
    </xf>
    <xf numFmtId="10" fontId="2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9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10" fontId="1" fillId="3" borderId="1" xfId="21" applyNumberFormat="1" applyFont="1" applyFill="1" applyBorder="1" applyAlignment="1">
      <alignment vertical="center"/>
    </xf>
    <xf numFmtId="10" fontId="1" fillId="4" borderId="1" xfId="21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9" fontId="1" fillId="3" borderId="1" xfId="0" applyNumberFormat="1" applyFont="1" applyFill="1" applyBorder="1" applyAlignment="1">
      <alignment vertical="center"/>
    </xf>
    <xf numFmtId="164" fontId="1" fillId="4" borderId="1" xfId="21" applyNumberFormat="1" applyFont="1" applyFill="1" applyBorder="1" applyAlignment="1">
      <alignment vertical="center"/>
    </xf>
    <xf numFmtId="164" fontId="10" fillId="3" borderId="1" xfId="21" applyNumberFormat="1" applyFont="1" applyFill="1" applyBorder="1" applyAlignment="1">
      <alignment vertical="center"/>
    </xf>
    <xf numFmtId="0" fontId="1" fillId="3" borderId="1" xfId="21" applyNumberFormat="1" applyFont="1" applyFill="1" applyBorder="1" applyAlignment="1">
      <alignment vertical="center"/>
    </xf>
    <xf numFmtId="9" fontId="1" fillId="4" borderId="1" xfId="21" applyFont="1" applyFill="1" applyBorder="1" applyAlignment="1">
      <alignment vertical="center"/>
    </xf>
    <xf numFmtId="0" fontId="1" fillId="5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 vertical="center"/>
    </xf>
    <xf numFmtId="10" fontId="1" fillId="6" borderId="1" xfId="21" applyNumberFormat="1" applyFont="1" applyFill="1" applyBorder="1" applyAlignment="1">
      <alignment/>
    </xf>
    <xf numFmtId="0" fontId="1" fillId="6" borderId="1" xfId="21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2" fillId="4" borderId="1" xfId="2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170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6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16" fillId="2" borderId="3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/>
    </xf>
    <xf numFmtId="10" fontId="2" fillId="4" borderId="2" xfId="0" applyNumberFormat="1" applyFont="1" applyFill="1" applyBorder="1" applyAlignment="1">
      <alignment horizontal="center" vertical="center" wrapText="1"/>
    </xf>
    <xf numFmtId="166" fontId="2" fillId="4" borderId="2" xfId="21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/>
    </xf>
    <xf numFmtId="10" fontId="2" fillId="4" borderId="6" xfId="21" applyNumberFormat="1" applyFont="1" applyFill="1" applyBorder="1" applyAlignment="1">
      <alignment horizontal="center" vertical="center" wrapText="1"/>
    </xf>
    <xf numFmtId="10" fontId="2" fillId="4" borderId="1" xfId="21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9" fontId="8" fillId="3" borderId="1" xfId="21" applyFont="1" applyFill="1" applyBorder="1" applyAlignment="1">
      <alignment vertical="center"/>
    </xf>
    <xf numFmtId="10" fontId="8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20" fillId="3" borderId="1" xfId="0" applyNumberFormat="1" applyFont="1" applyFill="1" applyBorder="1" applyAlignment="1">
      <alignment vertical="center"/>
    </xf>
    <xf numFmtId="0" fontId="8" fillId="3" borderId="1" xfId="21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vertical="center"/>
    </xf>
    <xf numFmtId="4" fontId="2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10" fontId="24" fillId="4" borderId="3" xfId="0" applyNumberFormat="1" applyFont="1" applyFill="1" applyBorder="1" applyAlignment="1">
      <alignment horizontal="center" vertical="center" wrapText="1"/>
    </xf>
    <xf numFmtId="10" fontId="24" fillId="4" borderId="1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10" fontId="24" fillId="4" borderId="3" xfId="21" applyNumberFormat="1" applyFont="1" applyFill="1" applyBorder="1" applyAlignment="1">
      <alignment horizontal="center" vertical="center" wrapText="1"/>
    </xf>
    <xf numFmtId="10" fontId="24" fillId="6" borderId="3" xfId="21" applyNumberFormat="1" applyFont="1" applyFill="1" applyBorder="1" applyAlignment="1">
      <alignment horizontal="center" vertical="center" wrapText="1"/>
    </xf>
    <xf numFmtId="10" fontId="24" fillId="4" borderId="1" xfId="21" applyNumberFormat="1" applyFont="1" applyFill="1" applyBorder="1" applyAlignment="1">
      <alignment horizontal="center" vertical="center" wrapText="1"/>
    </xf>
    <xf numFmtId="170" fontId="2" fillId="5" borderId="1" xfId="21" applyNumberFormat="1" applyFont="1" applyFill="1" applyBorder="1" applyAlignment="1">
      <alignment horizontal="center" vertical="center"/>
    </xf>
    <xf numFmtId="10" fontId="24" fillId="5" borderId="3" xfId="0" applyNumberFormat="1" applyFont="1" applyFill="1" applyBorder="1" applyAlignment="1">
      <alignment horizontal="center" vertical="center" wrapText="1"/>
    </xf>
    <xf numFmtId="10" fontId="24" fillId="5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10" fontId="2" fillId="7" borderId="1" xfId="0" applyNumberFormat="1" applyFont="1" applyFill="1" applyBorder="1" applyAlignment="1">
      <alignment horizontal="center" vertical="center"/>
    </xf>
    <xf numFmtId="0" fontId="2" fillId="7" borderId="6" xfId="21" applyNumberFormat="1" applyFont="1" applyFill="1" applyBorder="1" applyAlignment="1">
      <alignment horizontal="center" vertical="center"/>
    </xf>
    <xf numFmtId="0" fontId="2" fillId="7" borderId="1" xfId="2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170" fontId="2" fillId="7" borderId="1" xfId="0" applyNumberFormat="1" applyFont="1" applyFill="1" applyBorder="1" applyAlignment="1">
      <alignment horizontal="center" vertical="center"/>
    </xf>
    <xf numFmtId="9" fontId="2" fillId="7" borderId="1" xfId="0" applyNumberFormat="1" applyFont="1" applyFill="1" applyBorder="1" applyAlignment="1">
      <alignment horizontal="center" vertical="center"/>
    </xf>
    <xf numFmtId="170" fontId="2" fillId="7" borderId="1" xfId="2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0" fontId="5" fillId="0" borderId="0" xfId="15" applyAlignment="1" quotePrefix="1">
      <alignment/>
    </xf>
    <xf numFmtId="1" fontId="2" fillId="5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70" fontId="1" fillId="4" borderId="1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170" fontId="1" fillId="6" borderId="1" xfId="21" applyNumberFormat="1" applyFont="1" applyFill="1" applyBorder="1" applyAlignment="1">
      <alignment/>
    </xf>
    <xf numFmtId="9" fontId="1" fillId="3" borderId="1" xfId="21" applyFont="1" applyFill="1" applyBorder="1" applyAlignment="1">
      <alignment vertical="center"/>
    </xf>
    <xf numFmtId="10" fontId="1" fillId="4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10" fontId="1" fillId="6" borderId="1" xfId="21" applyNumberFormat="1" applyFont="1" applyFill="1" applyBorder="1" applyAlignment="1">
      <alignment vertical="center"/>
    </xf>
    <xf numFmtId="9" fontId="0" fillId="0" borderId="0" xfId="0" applyNumberFormat="1" applyAlignment="1">
      <alignment/>
    </xf>
    <xf numFmtId="0" fontId="5" fillId="2" borderId="1" xfId="15" applyNumberFormat="1" applyFill="1" applyBorder="1" applyAlignment="1" quotePrefix="1">
      <alignment horizontal="left" vertical="center"/>
    </xf>
    <xf numFmtId="0" fontId="5" fillId="2" borderId="1" xfId="15" applyFill="1" applyBorder="1" applyAlignment="1" quotePrefix="1">
      <alignment horizontal="left" vertical="center"/>
    </xf>
    <xf numFmtId="0" fontId="0" fillId="0" borderId="0" xfId="0" applyAlignment="1">
      <alignment horizontal="right"/>
    </xf>
    <xf numFmtId="166" fontId="2" fillId="3" borderId="1" xfId="0" applyNumberFormat="1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wrapText="1"/>
    </xf>
    <xf numFmtId="170" fontId="2" fillId="5" borderId="1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171" fontId="2" fillId="5" borderId="1" xfId="2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1" fontId="2" fillId="4" borderId="1" xfId="21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166" fontId="2" fillId="4" borderId="1" xfId="21" applyNumberFormat="1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71" fontId="2" fillId="4" borderId="1" xfId="0" applyNumberFormat="1" applyFont="1" applyFill="1" applyBorder="1" applyAlignment="1">
      <alignment horizontal="center" vertical="center"/>
    </xf>
    <xf numFmtId="173" fontId="2" fillId="4" borderId="1" xfId="21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2" fillId="4" borderId="5" xfId="0" applyFont="1" applyFill="1" applyBorder="1" applyAlignment="1">
      <alignment horizontal="left" vertical="center" wrapText="1"/>
    </xf>
    <xf numFmtId="1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171" fontId="2" fillId="2" borderId="1" xfId="21" applyNumberFormat="1" applyFont="1" applyFill="1" applyBorder="1" applyAlignment="1">
      <alignment horizontal="left" vertical="center"/>
    </xf>
    <xf numFmtId="0" fontId="2" fillId="4" borderId="1" xfId="21" applyNumberFormat="1" applyFont="1" applyFill="1" applyBorder="1" applyAlignment="1">
      <alignment horizontal="left" vertical="center"/>
    </xf>
    <xf numFmtId="171" fontId="2" fillId="4" borderId="1" xfId="21" applyNumberFormat="1" applyFont="1" applyFill="1" applyBorder="1" applyAlignment="1">
      <alignment horizontal="left" vertical="center"/>
    </xf>
    <xf numFmtId="170" fontId="2" fillId="4" borderId="1" xfId="21" applyNumberFormat="1" applyFont="1" applyFill="1" applyBorder="1" applyAlignment="1">
      <alignment horizontal="left" vertical="center"/>
    </xf>
    <xf numFmtId="1" fontId="2" fillId="4" borderId="1" xfId="21" applyNumberFormat="1" applyFont="1" applyFill="1" applyBorder="1" applyAlignment="1">
      <alignment horizontal="left" vertical="center"/>
    </xf>
    <xf numFmtId="1" fontId="2" fillId="4" borderId="1" xfId="21" applyNumberFormat="1" applyFont="1" applyFill="1" applyBorder="1" applyAlignment="1">
      <alignment horizontal="center" vertical="center"/>
    </xf>
    <xf numFmtId="166" fontId="2" fillId="6" borderId="1" xfId="21" applyNumberFormat="1" applyFont="1" applyFill="1" applyBorder="1" applyAlignment="1">
      <alignment horizontal="center" vertical="center"/>
    </xf>
    <xf numFmtId="173" fontId="2" fillId="6" borderId="1" xfId="2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10" fontId="2" fillId="6" borderId="1" xfId="21" applyNumberFormat="1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10" fontId="24" fillId="6" borderId="1" xfId="21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1" fillId="3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8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8" fillId="6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6" borderId="4" xfId="0" applyFill="1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8"/>
  <sheetViews>
    <sheetView tabSelected="1" workbookViewId="0" topLeftCell="A1">
      <selection activeCell="B7" sqref="B7"/>
    </sheetView>
  </sheetViews>
  <sheetFormatPr defaultColWidth="12" defaultRowHeight="11.25"/>
  <sheetData>
    <row r="4" ht="15.75">
      <c r="B4" s="210" t="s">
        <v>485</v>
      </c>
    </row>
    <row r="5" ht="15.75">
      <c r="B5" s="210" t="s">
        <v>482</v>
      </c>
    </row>
    <row r="6" ht="15.75">
      <c r="B6" s="211" t="s">
        <v>486</v>
      </c>
    </row>
    <row r="7" ht="15.75">
      <c r="B7" s="211" t="s">
        <v>483</v>
      </c>
    </row>
    <row r="8" ht="15.75">
      <c r="B8" s="211" t="s">
        <v>484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L1">
      <selection activeCell="S9" sqref="S9"/>
    </sheetView>
  </sheetViews>
  <sheetFormatPr defaultColWidth="12" defaultRowHeight="11.25"/>
  <cols>
    <col min="2" max="2" width="59.83203125" style="0" customWidth="1"/>
    <col min="3" max="3" width="40.83203125" style="0" customWidth="1"/>
    <col min="4" max="4" width="16.33203125" style="0" customWidth="1"/>
    <col min="5" max="5" width="15.83203125" style="0" customWidth="1"/>
    <col min="6" max="6" width="15.33203125" style="0" customWidth="1"/>
    <col min="7" max="7" width="16.66015625" style="0" customWidth="1"/>
    <col min="8" max="9" width="14" style="0" customWidth="1"/>
    <col min="10" max="10" width="13.66015625" style="0" customWidth="1"/>
    <col min="11" max="11" width="13.83203125" style="0" customWidth="1"/>
    <col min="12" max="12" width="15" style="0" customWidth="1"/>
    <col min="13" max="13" width="14.66015625" style="0" customWidth="1"/>
    <col min="14" max="14" width="13" style="0" customWidth="1"/>
    <col min="15" max="15" width="15.33203125" style="0" customWidth="1"/>
  </cols>
  <sheetData>
    <row r="1" ht="11.25">
      <c r="A1" s="142" t="s">
        <v>322</v>
      </c>
    </row>
    <row r="3" ht="15.75" customHeight="1" thickBot="1"/>
    <row r="4" spans="2:16" ht="42.75" customHeight="1" thickBot="1">
      <c r="B4" s="6" t="s">
        <v>264</v>
      </c>
      <c r="C4" s="116" t="s">
        <v>172</v>
      </c>
      <c r="D4" s="101">
        <v>1991</v>
      </c>
      <c r="E4" s="101">
        <f>D4+1</f>
        <v>1992</v>
      </c>
      <c r="F4" s="101">
        <f aca="true" t="shared" si="0" ref="F4:M4">E4+1</f>
        <v>1993</v>
      </c>
      <c r="G4" s="101">
        <f t="shared" si="0"/>
        <v>1994</v>
      </c>
      <c r="H4" s="101">
        <f>G4+1</f>
        <v>1995</v>
      </c>
      <c r="I4" s="101">
        <f t="shared" si="0"/>
        <v>1996</v>
      </c>
      <c r="J4" s="101">
        <f t="shared" si="0"/>
        <v>1997</v>
      </c>
      <c r="K4" s="101">
        <f t="shared" si="0"/>
        <v>1998</v>
      </c>
      <c r="L4" s="101">
        <f t="shared" si="0"/>
        <v>1999</v>
      </c>
      <c r="M4" s="101">
        <f t="shared" si="0"/>
        <v>2000</v>
      </c>
      <c r="N4" s="101">
        <f>M4+1</f>
        <v>2001</v>
      </c>
      <c r="O4" s="101">
        <f>N4+1</f>
        <v>2002</v>
      </c>
      <c r="P4" s="101">
        <f>O4+1</f>
        <v>2003</v>
      </c>
    </row>
    <row r="5" spans="2:16" ht="16.5" thickBot="1">
      <c r="B5" s="50" t="s">
        <v>180</v>
      </c>
      <c r="C5" s="72" t="s">
        <v>29</v>
      </c>
      <c r="D5" s="63">
        <v>1000000</v>
      </c>
      <c r="E5" s="63">
        <v>1000000</v>
      </c>
      <c r="F5" s="63">
        <v>1000000</v>
      </c>
      <c r="G5" s="63">
        <v>1000000</v>
      </c>
      <c r="H5" s="63">
        <v>1000000</v>
      </c>
      <c r="I5" s="63">
        <v>1000000</v>
      </c>
      <c r="J5" s="63">
        <v>1000000</v>
      </c>
      <c r="K5" s="63">
        <v>1000000</v>
      </c>
      <c r="L5" s="63">
        <v>1000000</v>
      </c>
      <c r="M5" s="63">
        <v>1000000</v>
      </c>
      <c r="N5" s="63">
        <v>1000000</v>
      </c>
      <c r="O5" s="63">
        <v>1000000</v>
      </c>
      <c r="P5" s="63">
        <v>1000000</v>
      </c>
    </row>
    <row r="6" spans="2:16" ht="16.5" thickBot="1">
      <c r="B6" s="50" t="s">
        <v>181</v>
      </c>
      <c r="C6" s="72" t="s">
        <v>30</v>
      </c>
      <c r="D6" s="63">
        <v>2000000</v>
      </c>
      <c r="E6" s="63">
        <v>2000000</v>
      </c>
      <c r="F6" s="63">
        <v>2000000</v>
      </c>
      <c r="G6" s="63">
        <v>2000000</v>
      </c>
      <c r="H6" s="63">
        <v>2000000</v>
      </c>
      <c r="I6" s="63">
        <v>2000000</v>
      </c>
      <c r="J6" s="63">
        <v>2000000</v>
      </c>
      <c r="K6" s="63">
        <v>2000000</v>
      </c>
      <c r="L6" s="63">
        <v>2000000</v>
      </c>
      <c r="M6" s="63">
        <v>2000000</v>
      </c>
      <c r="N6" s="63">
        <v>2000000</v>
      </c>
      <c r="O6" s="63">
        <v>2000000</v>
      </c>
      <c r="P6" s="63">
        <v>2000000</v>
      </c>
    </row>
    <row r="7" spans="2:16" ht="16.5" thickBot="1">
      <c r="B7" s="73" t="s">
        <v>60</v>
      </c>
      <c r="C7" s="74" t="s">
        <v>61</v>
      </c>
      <c r="D7" s="64">
        <f aca="true" t="shared" si="1" ref="D7:P7">D5/D6</f>
        <v>0.5</v>
      </c>
      <c r="E7" s="64">
        <f t="shared" si="1"/>
        <v>0.5</v>
      </c>
      <c r="F7" s="64">
        <f t="shared" si="1"/>
        <v>0.5</v>
      </c>
      <c r="G7" s="64">
        <f t="shared" si="1"/>
        <v>0.5</v>
      </c>
      <c r="H7" s="64">
        <f t="shared" si="1"/>
        <v>0.5</v>
      </c>
      <c r="I7" s="64">
        <f t="shared" si="1"/>
        <v>0.5</v>
      </c>
      <c r="J7" s="64">
        <f t="shared" si="1"/>
        <v>0.5</v>
      </c>
      <c r="K7" s="64">
        <f t="shared" si="1"/>
        <v>0.5</v>
      </c>
      <c r="L7" s="64">
        <f t="shared" si="1"/>
        <v>0.5</v>
      </c>
      <c r="M7" s="64">
        <f t="shared" si="1"/>
        <v>0.5</v>
      </c>
      <c r="N7" s="64">
        <f t="shared" si="1"/>
        <v>0.5</v>
      </c>
      <c r="O7" s="64">
        <f t="shared" si="1"/>
        <v>0.5</v>
      </c>
      <c r="P7" s="64">
        <f t="shared" si="1"/>
        <v>0.5</v>
      </c>
    </row>
    <row r="8" spans="2:16" ht="16.5" thickBot="1">
      <c r="B8" s="73" t="s">
        <v>62</v>
      </c>
      <c r="C8" s="74" t="s">
        <v>63</v>
      </c>
      <c r="D8" s="65">
        <f aca="true" t="shared" si="2" ref="D8:P8">1/D7</f>
        <v>2</v>
      </c>
      <c r="E8" s="65">
        <f t="shared" si="2"/>
        <v>2</v>
      </c>
      <c r="F8" s="65">
        <f t="shared" si="2"/>
        <v>2</v>
      </c>
      <c r="G8" s="65">
        <f t="shared" si="2"/>
        <v>2</v>
      </c>
      <c r="H8" s="65">
        <f t="shared" si="2"/>
        <v>2</v>
      </c>
      <c r="I8" s="65">
        <f t="shared" si="2"/>
        <v>2</v>
      </c>
      <c r="J8" s="65">
        <f t="shared" si="2"/>
        <v>2</v>
      </c>
      <c r="K8" s="65">
        <f t="shared" si="2"/>
        <v>2</v>
      </c>
      <c r="L8" s="65">
        <f t="shared" si="2"/>
        <v>2</v>
      </c>
      <c r="M8" s="65">
        <f t="shared" si="2"/>
        <v>2</v>
      </c>
      <c r="N8" s="65">
        <f t="shared" si="2"/>
        <v>2</v>
      </c>
      <c r="O8" s="65">
        <f t="shared" si="2"/>
        <v>2</v>
      </c>
      <c r="P8" s="65">
        <f t="shared" si="2"/>
        <v>2</v>
      </c>
    </row>
    <row r="9" spans="2:16" ht="18" thickBot="1">
      <c r="B9" s="47" t="s">
        <v>122</v>
      </c>
      <c r="C9" s="75" t="s">
        <v>111</v>
      </c>
      <c r="D9" s="3">
        <f>'10_Recap_ tc et tk nominaux'!D9</f>
        <v>0.098</v>
      </c>
      <c r="E9" s="3">
        <f>'10_Recap_ tc et tk nominaux'!E9</f>
        <v>0.098</v>
      </c>
      <c r="F9" s="3">
        <f>'10_Recap_ tc et tk nominaux'!F9</f>
        <v>0.098</v>
      </c>
      <c r="G9" s="3">
        <f>'10_Recap_ tc et tk nominaux'!G9</f>
        <v>0.098</v>
      </c>
      <c r="H9" s="3">
        <f>'10_Recap_ tc et tk nominaux'!H9</f>
        <v>0.098</v>
      </c>
      <c r="I9" s="3">
        <f>'10_Recap_ tc et tk nominaux'!I9</f>
        <v>0.098</v>
      </c>
      <c r="J9" s="3">
        <f>'10_Recap_ tc et tk nominaux'!J9</f>
        <v>0.098</v>
      </c>
      <c r="K9" s="3">
        <f>'10_Recap_ tc et tk nominaux'!K9</f>
        <v>0.085</v>
      </c>
      <c r="L9" s="3">
        <f>'10_Recap_ tc et tk nominaux'!L9</f>
        <v>0.085</v>
      </c>
      <c r="M9" s="3">
        <f>'10_Recap_ tc et tk nominaux'!M9</f>
        <v>0.085</v>
      </c>
      <c r="N9" s="3">
        <f>'10_Recap_ tc et tk nominaux'!N9</f>
        <v>0.085</v>
      </c>
      <c r="O9" s="3">
        <f>'10_Recap_ tc et tk nominaux'!O9</f>
        <v>0.085</v>
      </c>
      <c r="P9" s="3">
        <f>'10_Recap_ tc et tk nominaux'!P9</f>
        <v>0.085</v>
      </c>
    </row>
    <row r="10" spans="2:16" ht="18" thickBot="1">
      <c r="B10" s="47" t="s">
        <v>80</v>
      </c>
      <c r="C10" s="75" t="s">
        <v>112</v>
      </c>
      <c r="D10" s="3">
        <f>'10_Recap_ tc et tk nominaux'!D10</f>
        <v>0.12</v>
      </c>
      <c r="E10" s="3">
        <f>'10_Recap_ tc et tk nominaux'!E10</f>
        <v>0.12</v>
      </c>
      <c r="F10" s="3">
        <f>'10_Recap_ tc et tk nominaux'!F10</f>
        <v>0.12</v>
      </c>
      <c r="G10" s="3">
        <f>'10_Recap_ tc et tk nominaux'!G10</f>
        <v>0.12</v>
      </c>
      <c r="H10" s="3">
        <f>'10_Recap_ tc et tk nominaux'!H10</f>
        <v>0.12</v>
      </c>
      <c r="I10" s="3">
        <f>'10_Recap_ tc et tk nominaux'!I10</f>
        <v>0.12</v>
      </c>
      <c r="J10" s="3">
        <f>'10_Recap_ tc et tk nominaux'!J10</f>
        <v>0.12</v>
      </c>
      <c r="K10" s="3">
        <f>'10_Recap_ tc et tk nominaux'!K10</f>
        <v>0.12</v>
      </c>
      <c r="L10" s="3">
        <f>'10_Recap_ tc et tk nominaux'!L10</f>
        <v>0.1</v>
      </c>
      <c r="M10" s="3">
        <f>'10_Recap_ tc et tk nominaux'!M10</f>
        <v>0.1</v>
      </c>
      <c r="N10" s="3">
        <f>'10_Recap_ tc et tk nominaux'!N10</f>
        <v>0.1</v>
      </c>
      <c r="O10" s="3">
        <f>'10_Recap_ tc et tk nominaux'!O10</f>
        <v>0.1</v>
      </c>
      <c r="P10" s="3">
        <f>'10_Recap_ tc et tk nominaux'!P10</f>
        <v>0.1</v>
      </c>
    </row>
    <row r="11" spans="2:16" ht="27.75" customHeight="1" thickBot="1">
      <c r="B11" s="47" t="s">
        <v>81</v>
      </c>
      <c r="C11" s="75" t="s">
        <v>166</v>
      </c>
      <c r="D11" s="8">
        <f>'10_Recap_ tc et tk nominaux'!D11</f>
        <v>2.3794</v>
      </c>
      <c r="E11" s="8">
        <f>'10_Recap_ tc et tk nominaux'!E11</f>
        <v>2.4294000000000002</v>
      </c>
      <c r="F11" s="8">
        <f>'10_Recap_ tc et tk nominaux'!F11</f>
        <v>2.4996</v>
      </c>
      <c r="G11" s="8">
        <f>'10_Recap_ tc et tk nominaux'!G11</f>
        <v>2.4996</v>
      </c>
      <c r="H11" s="8">
        <f>'10_Recap_ tc et tk nominaux'!H11</f>
        <v>2.5</v>
      </c>
      <c r="I11" s="8">
        <f>'10_Recap_ tc et tk nominaux'!I11</f>
        <v>2.5</v>
      </c>
      <c r="J11" s="8">
        <f>'10_Recap_ tc et tk nominaux'!J11</f>
        <v>2.5</v>
      </c>
      <c r="K11" s="8">
        <f>'10_Recap_ tc et tk nominaux'!K11</f>
        <v>2.5000999999999998</v>
      </c>
      <c r="L11" s="8">
        <f>'10_Recap_ tc et tk nominaux'!L11</f>
        <v>2.5000999999999998</v>
      </c>
      <c r="M11" s="8">
        <f>'10_Recap_ tc et tk nominaux'!M11</f>
        <v>2.4701</v>
      </c>
      <c r="N11" s="8">
        <f>'10_Recap_ tc et tk nominaux'!N11</f>
        <v>2.4301</v>
      </c>
      <c r="O11" s="8">
        <f>'10_Recap_ tc et tk nominaux'!O11</f>
        <v>2.3802</v>
      </c>
      <c r="P11" s="8">
        <f>'10_Recap_ tc et tk nominaux'!P11</f>
        <v>2.3251999999999997</v>
      </c>
    </row>
    <row r="12" spans="2:16" ht="32.25" customHeight="1" thickBot="1">
      <c r="B12" s="47" t="s">
        <v>82</v>
      </c>
      <c r="C12" s="75" t="s">
        <v>113</v>
      </c>
      <c r="D12" s="5">
        <f aca="true" t="shared" si="3" ref="D12:P12">D10*D11</f>
        <v>0.285528</v>
      </c>
      <c r="E12" s="5">
        <f t="shared" si="3"/>
        <v>0.291528</v>
      </c>
      <c r="F12" s="5">
        <f t="shared" si="3"/>
        <v>0.299952</v>
      </c>
      <c r="G12" s="5">
        <f t="shared" si="3"/>
        <v>0.299952</v>
      </c>
      <c r="H12" s="5">
        <f t="shared" si="3"/>
        <v>0.3</v>
      </c>
      <c r="I12" s="5">
        <f t="shared" si="3"/>
        <v>0.3</v>
      </c>
      <c r="J12" s="5">
        <f t="shared" si="3"/>
        <v>0.3</v>
      </c>
      <c r="K12" s="5">
        <f t="shared" si="3"/>
        <v>0.30001199999999995</v>
      </c>
      <c r="L12" s="5">
        <f t="shared" si="3"/>
        <v>0.25001</v>
      </c>
      <c r="M12" s="5">
        <f t="shared" si="3"/>
        <v>0.24701</v>
      </c>
      <c r="N12" s="5">
        <f t="shared" si="3"/>
        <v>0.24301</v>
      </c>
      <c r="O12" s="5">
        <f t="shared" si="3"/>
        <v>0.23802</v>
      </c>
      <c r="P12" s="5">
        <f t="shared" si="3"/>
        <v>0.23251999999999998</v>
      </c>
    </row>
    <row r="13" spans="2:16" ht="32.25" customHeight="1" thickBot="1">
      <c r="B13" s="61" t="s">
        <v>83</v>
      </c>
      <c r="C13" s="76" t="s">
        <v>114</v>
      </c>
      <c r="D13" s="68">
        <f aca="true" t="shared" si="4" ref="D13:P13">D9+D12</f>
        <v>0.383528</v>
      </c>
      <c r="E13" s="68">
        <f t="shared" si="4"/>
        <v>0.389528</v>
      </c>
      <c r="F13" s="68">
        <f t="shared" si="4"/>
        <v>0.397952</v>
      </c>
      <c r="G13" s="68">
        <f t="shared" si="4"/>
        <v>0.397952</v>
      </c>
      <c r="H13" s="68">
        <f t="shared" si="4"/>
        <v>0.398</v>
      </c>
      <c r="I13" s="68">
        <f t="shared" si="4"/>
        <v>0.398</v>
      </c>
      <c r="J13" s="68">
        <f t="shared" si="4"/>
        <v>0.398</v>
      </c>
      <c r="K13" s="68">
        <f t="shared" si="4"/>
        <v>0.38501199999999997</v>
      </c>
      <c r="L13" s="68">
        <f t="shared" si="4"/>
        <v>0.33501000000000003</v>
      </c>
      <c r="M13" s="68">
        <f t="shared" si="4"/>
        <v>0.33201</v>
      </c>
      <c r="N13" s="68">
        <f t="shared" si="4"/>
        <v>0.32801</v>
      </c>
      <c r="O13" s="68">
        <f t="shared" si="4"/>
        <v>0.32302000000000003</v>
      </c>
      <c r="P13" s="68">
        <f t="shared" si="4"/>
        <v>0.31751999999999997</v>
      </c>
    </row>
    <row r="14" spans="2:16" ht="27.75" customHeight="1" thickBot="1">
      <c r="B14" s="12" t="s">
        <v>128</v>
      </c>
      <c r="C14" s="67" t="s">
        <v>127</v>
      </c>
      <c r="D14" s="13">
        <f>'10_Recap_ tc et tk nominaux'!D14</f>
        <v>0.000825</v>
      </c>
      <c r="E14" s="13">
        <f>'10_Recap_ tc et tk nominaux'!E14</f>
        <v>0.000825</v>
      </c>
      <c r="F14" s="13">
        <f>'10_Recap_ tc et tk nominaux'!F14</f>
        <v>0.000825</v>
      </c>
      <c r="G14" s="13">
        <f>'10_Recap_ tc et tk nominaux'!G14</f>
        <v>0.000825</v>
      </c>
      <c r="H14" s="13">
        <f>'10_Recap_ tc et tk nominaux'!H14</f>
        <v>0.0008</v>
      </c>
      <c r="I14" s="13">
        <f>'10_Recap_ tc et tk nominaux'!I14</f>
        <v>0.0008</v>
      </c>
      <c r="J14" s="13">
        <f>'10_Recap_ tc et tk nominaux'!J14</f>
        <v>0.0008</v>
      </c>
      <c r="K14" s="13">
        <f>'10_Recap_ tc et tk nominaux'!K14</f>
        <v>0</v>
      </c>
      <c r="L14" s="13">
        <f>'10_Recap_ tc et tk nominaux'!L14</f>
        <v>0</v>
      </c>
      <c r="M14" s="13">
        <f>'10_Recap_ tc et tk nominaux'!M14</f>
        <v>0</v>
      </c>
      <c r="N14" s="13">
        <f>'10_Recap_ tc et tk nominaux'!N14</f>
        <v>0</v>
      </c>
      <c r="O14" s="13">
        <f>'10_Recap_ tc et tk nominaux'!O14</f>
        <v>0</v>
      </c>
      <c r="P14" s="13">
        <f>'10_Recap_ tc et tk nominaux'!P14</f>
        <v>0</v>
      </c>
    </row>
    <row r="15" spans="2:16" ht="34.5" customHeight="1" thickBot="1">
      <c r="B15" s="14" t="s">
        <v>7</v>
      </c>
      <c r="C15" s="67" t="s">
        <v>121</v>
      </c>
      <c r="D15" s="13">
        <f aca="true" t="shared" si="5" ref="D15:P15">D14*D8</f>
        <v>0.00165</v>
      </c>
      <c r="E15" s="13">
        <f t="shared" si="5"/>
        <v>0.00165</v>
      </c>
      <c r="F15" s="13">
        <f t="shared" si="5"/>
        <v>0.00165</v>
      </c>
      <c r="G15" s="13">
        <f t="shared" si="5"/>
        <v>0.00165</v>
      </c>
      <c r="H15" s="13">
        <f t="shared" si="5"/>
        <v>0.0016</v>
      </c>
      <c r="I15" s="13">
        <f t="shared" si="5"/>
        <v>0.0016</v>
      </c>
      <c r="J15" s="13">
        <f t="shared" si="5"/>
        <v>0.0016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5"/>
        <v>0</v>
      </c>
    </row>
    <row r="16" spans="2:16" ht="30.75" customHeight="1" thickBot="1">
      <c r="B16" s="12" t="s">
        <v>129</v>
      </c>
      <c r="C16" s="77" t="s">
        <v>130</v>
      </c>
      <c r="D16" s="13">
        <f>'10_Recap_ tc et tk nominaux'!D16</f>
        <v>0.0015</v>
      </c>
      <c r="E16" s="13">
        <f>'10_Recap_ tc et tk nominaux'!E16</f>
        <v>0.0015</v>
      </c>
      <c r="F16" s="13">
        <f>'10_Recap_ tc et tk nominaux'!F16</f>
        <v>0.0015</v>
      </c>
      <c r="G16" s="13">
        <f>'10_Recap_ tc et tk nominaux'!G16</f>
        <v>0.0015</v>
      </c>
      <c r="H16" s="13">
        <f>'10_Recap_ tc et tk nominaux'!H16</f>
        <v>0.0015</v>
      </c>
      <c r="I16" s="13">
        <f>'10_Recap_ tc et tk nominaux'!I16</f>
        <v>0.0015</v>
      </c>
      <c r="J16" s="13">
        <f>'10_Recap_ tc et tk nominaux'!J16</f>
        <v>0.0015</v>
      </c>
      <c r="K16" s="13">
        <f>'10_Recap_ tc et tk nominaux'!K16</f>
        <v>0.0015</v>
      </c>
      <c r="L16" s="13">
        <f>'10_Recap_ tc et tk nominaux'!L16</f>
        <v>0.0015</v>
      </c>
      <c r="M16" s="13">
        <f>'10_Recap_ tc et tk nominaux'!M16</f>
        <v>0.0015</v>
      </c>
      <c r="N16" s="13">
        <f>'10_Recap_ tc et tk nominaux'!N16</f>
        <v>0.0015</v>
      </c>
      <c r="O16" s="13">
        <f>'10_Recap_ tc et tk nominaux'!O16</f>
        <v>0.0015</v>
      </c>
      <c r="P16" s="13">
        <f>'10_Recap_ tc et tk nominaux'!P16</f>
        <v>0.0015</v>
      </c>
    </row>
    <row r="17" spans="2:16" ht="30" customHeight="1" thickBot="1">
      <c r="B17" s="12" t="s">
        <v>11</v>
      </c>
      <c r="C17" s="86" t="s">
        <v>131</v>
      </c>
      <c r="D17" s="13">
        <f aca="true" t="shared" si="6" ref="D17:P17">D16*D11</f>
        <v>0.0035691</v>
      </c>
      <c r="E17" s="13">
        <f t="shared" si="6"/>
        <v>0.0036441000000000004</v>
      </c>
      <c r="F17" s="13">
        <f t="shared" si="6"/>
        <v>0.0037494</v>
      </c>
      <c r="G17" s="13">
        <f t="shared" si="6"/>
        <v>0.0037494</v>
      </c>
      <c r="H17" s="13">
        <f t="shared" si="6"/>
        <v>0.00375</v>
      </c>
      <c r="I17" s="13">
        <f t="shared" si="6"/>
        <v>0.00375</v>
      </c>
      <c r="J17" s="13">
        <f t="shared" si="6"/>
        <v>0.00375</v>
      </c>
      <c r="K17" s="13">
        <f t="shared" si="6"/>
        <v>0.00375015</v>
      </c>
      <c r="L17" s="13">
        <f t="shared" si="6"/>
        <v>0.00375015</v>
      </c>
      <c r="M17" s="13">
        <f t="shared" si="6"/>
        <v>0.00370515</v>
      </c>
      <c r="N17" s="13">
        <f t="shared" si="6"/>
        <v>0.0036451499999999998</v>
      </c>
      <c r="O17" s="13">
        <f t="shared" si="6"/>
        <v>0.0035702999999999998</v>
      </c>
      <c r="P17" s="13">
        <f t="shared" si="6"/>
        <v>0.0034877999999999997</v>
      </c>
    </row>
    <row r="18" spans="2:16" ht="29.25" customHeight="1" thickBot="1">
      <c r="B18" s="12" t="s">
        <v>12</v>
      </c>
      <c r="C18" s="67" t="s">
        <v>20</v>
      </c>
      <c r="D18" s="13">
        <f aca="true" t="shared" si="7" ref="D18:P18">D16*D8*D11</f>
        <v>0.0071382</v>
      </c>
      <c r="E18" s="13">
        <f t="shared" si="7"/>
        <v>0.007288200000000001</v>
      </c>
      <c r="F18" s="13">
        <f t="shared" si="7"/>
        <v>0.0074988</v>
      </c>
      <c r="G18" s="13">
        <f t="shared" si="7"/>
        <v>0.0074988</v>
      </c>
      <c r="H18" s="13">
        <f t="shared" si="7"/>
        <v>0.0075</v>
      </c>
      <c r="I18" s="13">
        <f t="shared" si="7"/>
        <v>0.0075</v>
      </c>
      <c r="J18" s="13">
        <f t="shared" si="7"/>
        <v>0.0075</v>
      </c>
      <c r="K18" s="13">
        <f t="shared" si="7"/>
        <v>0.0075003</v>
      </c>
      <c r="L18" s="13">
        <f t="shared" si="7"/>
        <v>0.0075003</v>
      </c>
      <c r="M18" s="13">
        <f t="shared" si="7"/>
        <v>0.0074103</v>
      </c>
      <c r="N18" s="13">
        <f t="shared" si="7"/>
        <v>0.0072902999999999996</v>
      </c>
      <c r="O18" s="13">
        <f t="shared" si="7"/>
        <v>0.0071405999999999996</v>
      </c>
      <c r="P18" s="13">
        <f t="shared" si="7"/>
        <v>0.006975599999999999</v>
      </c>
    </row>
    <row r="19" spans="2:16" ht="30.75" customHeight="1" thickBot="1">
      <c r="B19" s="61" t="s">
        <v>132</v>
      </c>
      <c r="C19" s="69" t="s">
        <v>21</v>
      </c>
      <c r="D19" s="68">
        <f aca="true" t="shared" si="8" ref="D19:P19">D14+D17</f>
        <v>0.0043941</v>
      </c>
      <c r="E19" s="68">
        <f t="shared" si="8"/>
        <v>0.0044691</v>
      </c>
      <c r="F19" s="68">
        <f t="shared" si="8"/>
        <v>0.0045744</v>
      </c>
      <c r="G19" s="68">
        <f t="shared" si="8"/>
        <v>0.0045744</v>
      </c>
      <c r="H19" s="68">
        <f t="shared" si="8"/>
        <v>0.00455</v>
      </c>
      <c r="I19" s="68">
        <f t="shared" si="8"/>
        <v>0.00455</v>
      </c>
      <c r="J19" s="68">
        <f t="shared" si="8"/>
        <v>0.00455</v>
      </c>
      <c r="K19" s="68">
        <f t="shared" si="8"/>
        <v>0.00375015</v>
      </c>
      <c r="L19" s="68">
        <f t="shared" si="8"/>
        <v>0.00375015</v>
      </c>
      <c r="M19" s="68">
        <f t="shared" si="8"/>
        <v>0.00370515</v>
      </c>
      <c r="N19" s="68">
        <f t="shared" si="8"/>
        <v>0.0036451499999999998</v>
      </c>
      <c r="O19" s="68">
        <f t="shared" si="8"/>
        <v>0.0035702999999999998</v>
      </c>
      <c r="P19" s="68">
        <f t="shared" si="8"/>
        <v>0.0034877999999999997</v>
      </c>
    </row>
    <row r="20" spans="2:16" ht="29.25" customHeight="1" thickBot="1">
      <c r="B20" s="61" t="s">
        <v>13</v>
      </c>
      <c r="C20" s="69" t="s">
        <v>123</v>
      </c>
      <c r="D20" s="68">
        <f aca="true" t="shared" si="9" ref="D20:P20">D15+D18</f>
        <v>0.0087882</v>
      </c>
      <c r="E20" s="68">
        <f t="shared" si="9"/>
        <v>0.0089382</v>
      </c>
      <c r="F20" s="68">
        <f t="shared" si="9"/>
        <v>0.0091488</v>
      </c>
      <c r="G20" s="68">
        <f t="shared" si="9"/>
        <v>0.0091488</v>
      </c>
      <c r="H20" s="68">
        <f t="shared" si="9"/>
        <v>0.0091</v>
      </c>
      <c r="I20" s="68">
        <f t="shared" si="9"/>
        <v>0.0091</v>
      </c>
      <c r="J20" s="68">
        <f t="shared" si="9"/>
        <v>0.0091</v>
      </c>
      <c r="K20" s="68">
        <f t="shared" si="9"/>
        <v>0.0075003</v>
      </c>
      <c r="L20" s="68">
        <f t="shared" si="9"/>
        <v>0.0075003</v>
      </c>
      <c r="M20" s="68">
        <f t="shared" si="9"/>
        <v>0.0074103</v>
      </c>
      <c r="N20" s="68">
        <f t="shared" si="9"/>
        <v>0.0072902999999999996</v>
      </c>
      <c r="O20" s="68">
        <f t="shared" si="9"/>
        <v>0.0071405999999999996</v>
      </c>
      <c r="P20" s="68">
        <f t="shared" si="9"/>
        <v>0.006975599999999999</v>
      </c>
    </row>
    <row r="21" spans="2:16" ht="31.5" customHeight="1" thickBot="1">
      <c r="B21" s="70" t="s">
        <v>22</v>
      </c>
      <c r="C21" s="71" t="s">
        <v>124</v>
      </c>
      <c r="D21" s="68">
        <f aca="true" t="shared" si="10" ref="D21:P21">D13+D20</f>
        <v>0.3923162</v>
      </c>
      <c r="E21" s="68">
        <f t="shared" si="10"/>
        <v>0.3984662</v>
      </c>
      <c r="F21" s="68">
        <f t="shared" si="10"/>
        <v>0.4071008</v>
      </c>
      <c r="G21" s="68">
        <f t="shared" si="10"/>
        <v>0.4071008</v>
      </c>
      <c r="H21" s="68">
        <f t="shared" si="10"/>
        <v>0.4071</v>
      </c>
      <c r="I21" s="68">
        <f t="shared" si="10"/>
        <v>0.4071</v>
      </c>
      <c r="J21" s="68">
        <f t="shared" si="10"/>
        <v>0.4071</v>
      </c>
      <c r="K21" s="68">
        <f t="shared" si="10"/>
        <v>0.3925123</v>
      </c>
      <c r="L21" s="68">
        <f t="shared" si="10"/>
        <v>0.34251030000000005</v>
      </c>
      <c r="M21" s="68">
        <f t="shared" si="10"/>
        <v>0.3394203</v>
      </c>
      <c r="N21" s="68">
        <f t="shared" si="10"/>
        <v>0.3353003</v>
      </c>
      <c r="O21" s="68">
        <f t="shared" si="10"/>
        <v>0.3301606</v>
      </c>
      <c r="P21" s="68">
        <f t="shared" si="10"/>
        <v>0.3244956</v>
      </c>
    </row>
    <row r="22" spans="2:16" ht="31.5" customHeight="1" thickBot="1">
      <c r="B22" s="2" t="s">
        <v>23</v>
      </c>
      <c r="C22" s="48" t="s">
        <v>98</v>
      </c>
      <c r="D22" s="5">
        <f aca="true" t="shared" si="11" ref="D22:P22">D21/(1+D13)</f>
        <v>0.2835621686008523</v>
      </c>
      <c r="E22" s="5">
        <f t="shared" si="11"/>
        <v>0.2867637068126731</v>
      </c>
      <c r="F22" s="5">
        <f t="shared" si="11"/>
        <v>0.2912122876894199</v>
      </c>
      <c r="G22" s="5">
        <f t="shared" si="11"/>
        <v>0.2912122876894199</v>
      </c>
      <c r="H22" s="5">
        <f t="shared" si="11"/>
        <v>0.2912017167381974</v>
      </c>
      <c r="I22" s="5">
        <f t="shared" si="11"/>
        <v>0.2912017167381974</v>
      </c>
      <c r="J22" s="5">
        <f t="shared" si="11"/>
        <v>0.2912017167381974</v>
      </c>
      <c r="K22" s="5">
        <f t="shared" si="11"/>
        <v>0.28339992722084717</v>
      </c>
      <c r="L22" s="5">
        <f t="shared" si="11"/>
        <v>0.25656010067340324</v>
      </c>
      <c r="M22" s="5">
        <f t="shared" si="11"/>
        <v>0.25481813199600606</v>
      </c>
      <c r="N22" s="5">
        <f t="shared" si="11"/>
        <v>0.25248326443324975</v>
      </c>
      <c r="O22" s="5">
        <f t="shared" si="11"/>
        <v>0.2495507248567671</v>
      </c>
      <c r="P22" s="5">
        <f t="shared" si="11"/>
        <v>0.24629273179913777</v>
      </c>
    </row>
    <row r="23" spans="2:16" ht="30.75" customHeight="1" thickBot="1">
      <c r="B23" s="2" t="s">
        <v>24</v>
      </c>
      <c r="C23" s="79" t="s">
        <v>99</v>
      </c>
      <c r="D23" s="5">
        <f aca="true" t="shared" si="12" ref="D23:P23">D13*(1-D22)+D20</f>
        <v>0.28356216860085237</v>
      </c>
      <c r="E23" s="5">
        <f t="shared" si="12"/>
        <v>0.28676370681267305</v>
      </c>
      <c r="F23" s="5">
        <f t="shared" si="12"/>
        <v>0.29121228768942</v>
      </c>
      <c r="G23" s="5">
        <f t="shared" si="12"/>
        <v>0.29121228768942</v>
      </c>
      <c r="H23" s="5">
        <f t="shared" si="12"/>
        <v>0.29120171673819745</v>
      </c>
      <c r="I23" s="5">
        <f t="shared" si="12"/>
        <v>0.29120171673819745</v>
      </c>
      <c r="J23" s="5">
        <f t="shared" si="12"/>
        <v>0.29120171673819745</v>
      </c>
      <c r="K23" s="5">
        <f t="shared" si="12"/>
        <v>0.28339992722084717</v>
      </c>
      <c r="L23" s="5">
        <f t="shared" si="12"/>
        <v>0.2565601006734032</v>
      </c>
      <c r="M23" s="5">
        <f t="shared" si="12"/>
        <v>0.254818131996006</v>
      </c>
      <c r="N23" s="5">
        <f t="shared" si="12"/>
        <v>0.25248326443324975</v>
      </c>
      <c r="O23" s="5">
        <f t="shared" si="12"/>
        <v>0.2495507248567671</v>
      </c>
      <c r="P23" s="5">
        <f t="shared" si="12"/>
        <v>0.24629273179913774</v>
      </c>
    </row>
    <row r="24" spans="2:16" ht="30" customHeight="1" thickBot="1">
      <c r="B24" s="2" t="s">
        <v>25</v>
      </c>
      <c r="C24" s="48" t="s">
        <v>95</v>
      </c>
      <c r="D24" s="5">
        <f aca="true" t="shared" si="13" ref="D24:P24">D9*(1-D22)+D15</f>
        <v>0.07186090747711647</v>
      </c>
      <c r="E24" s="5">
        <f t="shared" si="13"/>
        <v>0.07154715673235804</v>
      </c>
      <c r="F24" s="5">
        <f t="shared" si="13"/>
        <v>0.07111119580643685</v>
      </c>
      <c r="G24" s="5">
        <f t="shared" si="13"/>
        <v>0.07111119580643685</v>
      </c>
      <c r="H24" s="5">
        <f t="shared" si="13"/>
        <v>0.07106223175965666</v>
      </c>
      <c r="I24" s="5">
        <f t="shared" si="13"/>
        <v>0.07106223175965666</v>
      </c>
      <c r="J24" s="5">
        <f t="shared" si="13"/>
        <v>0.07106223175965666</v>
      </c>
      <c r="K24" s="5">
        <f t="shared" si="13"/>
        <v>0.060911006186227995</v>
      </c>
      <c r="L24" s="5">
        <f t="shared" si="13"/>
        <v>0.06319239144276073</v>
      </c>
      <c r="M24" s="5">
        <f t="shared" si="13"/>
        <v>0.06334045878033949</v>
      </c>
      <c r="N24" s="5">
        <f t="shared" si="13"/>
        <v>0.06353892252317378</v>
      </c>
      <c r="O24" s="5">
        <f t="shared" si="13"/>
        <v>0.0637881883871748</v>
      </c>
      <c r="P24" s="5">
        <f t="shared" si="13"/>
        <v>0.06406511779707329</v>
      </c>
    </row>
    <row r="25" spans="2:16" ht="26.25" thickBot="1">
      <c r="B25" s="2" t="s">
        <v>26</v>
      </c>
      <c r="C25" s="48" t="s">
        <v>94</v>
      </c>
      <c r="D25" s="5">
        <f aca="true" t="shared" si="14" ref="D25:P25">D15+(D9*(1-D20)/(1+D13))</f>
        <v>0.07186090747711646</v>
      </c>
      <c r="E25" s="5">
        <f t="shared" si="14"/>
        <v>0.07154715673235805</v>
      </c>
      <c r="F25" s="5">
        <f t="shared" si="14"/>
        <v>0.07111119580643685</v>
      </c>
      <c r="G25" s="5">
        <f t="shared" si="14"/>
        <v>0.07111119580643685</v>
      </c>
      <c r="H25" s="5">
        <f t="shared" si="14"/>
        <v>0.07106223175965666</v>
      </c>
      <c r="I25" s="5">
        <f t="shared" si="14"/>
        <v>0.07106223175965666</v>
      </c>
      <c r="J25" s="5">
        <f t="shared" si="14"/>
        <v>0.07106223175965666</v>
      </c>
      <c r="K25" s="5">
        <f t="shared" si="14"/>
        <v>0.060911006186227995</v>
      </c>
      <c r="L25" s="5">
        <f t="shared" si="14"/>
        <v>0.06319239144276073</v>
      </c>
      <c r="M25" s="5">
        <f t="shared" si="14"/>
        <v>0.06334045878033949</v>
      </c>
      <c r="N25" s="5">
        <f t="shared" si="14"/>
        <v>0.06353892252317378</v>
      </c>
      <c r="O25" s="5">
        <f t="shared" si="14"/>
        <v>0.06378818838717479</v>
      </c>
      <c r="P25" s="5">
        <f t="shared" si="14"/>
        <v>0.0640651177970733</v>
      </c>
    </row>
    <row r="26" spans="2:16" ht="20.25" customHeight="1" thickBot="1">
      <c r="B26" s="2" t="s">
        <v>27</v>
      </c>
      <c r="C26" s="48" t="s">
        <v>133</v>
      </c>
      <c r="D26" s="5">
        <f aca="true" t="shared" si="15" ref="D26:P26">D25-D15</f>
        <v>0.07021090747711646</v>
      </c>
      <c r="E26" s="5">
        <f t="shared" si="15"/>
        <v>0.06989715673235805</v>
      </c>
      <c r="F26" s="5">
        <f t="shared" si="15"/>
        <v>0.06946119580643685</v>
      </c>
      <c r="G26" s="5">
        <f t="shared" si="15"/>
        <v>0.06946119580643685</v>
      </c>
      <c r="H26" s="5">
        <f t="shared" si="15"/>
        <v>0.06946223175965666</v>
      </c>
      <c r="I26" s="5">
        <f t="shared" si="15"/>
        <v>0.06946223175965666</v>
      </c>
      <c r="J26" s="5">
        <f t="shared" si="15"/>
        <v>0.06946223175965666</v>
      </c>
      <c r="K26" s="5">
        <f t="shared" si="15"/>
        <v>0.060911006186227995</v>
      </c>
      <c r="L26" s="5">
        <f t="shared" si="15"/>
        <v>0.06319239144276073</v>
      </c>
      <c r="M26" s="5">
        <f t="shared" si="15"/>
        <v>0.06334045878033949</v>
      </c>
      <c r="N26" s="5">
        <f t="shared" si="15"/>
        <v>0.06353892252317378</v>
      </c>
      <c r="O26" s="5">
        <f t="shared" si="15"/>
        <v>0.06378818838717479</v>
      </c>
      <c r="P26" s="5">
        <f t="shared" si="15"/>
        <v>0.0640651177970733</v>
      </c>
    </row>
    <row r="27" spans="2:16" ht="30" customHeight="1" thickBot="1">
      <c r="B27" s="2" t="s">
        <v>70</v>
      </c>
      <c r="C27" s="48" t="s">
        <v>39</v>
      </c>
      <c r="D27" s="5">
        <f aca="true" t="shared" si="16" ref="D27:P27">(D12*(1-D22))+D18</f>
        <v>0.21170126112373586</v>
      </c>
      <c r="E27" s="5">
        <f t="shared" si="16"/>
        <v>0.215216550080315</v>
      </c>
      <c r="F27" s="5">
        <f t="shared" si="16"/>
        <v>0.22010109188298313</v>
      </c>
      <c r="G27" s="5">
        <f t="shared" si="16"/>
        <v>0.22010109188298313</v>
      </c>
      <c r="H27" s="5">
        <f t="shared" si="16"/>
        <v>0.22013948497854077</v>
      </c>
      <c r="I27" s="5">
        <f t="shared" si="16"/>
        <v>0.22013948497854077</v>
      </c>
      <c r="J27" s="5">
        <f t="shared" si="16"/>
        <v>0.22013948497854077</v>
      </c>
      <c r="K27" s="5">
        <f t="shared" si="16"/>
        <v>0.22248892103461915</v>
      </c>
      <c r="L27" s="5">
        <f t="shared" si="16"/>
        <v>0.19336770923064245</v>
      </c>
      <c r="M27" s="5">
        <f t="shared" si="16"/>
        <v>0.19147767321566656</v>
      </c>
      <c r="N27" s="5">
        <f t="shared" si="16"/>
        <v>0.18894434191007597</v>
      </c>
      <c r="O27" s="5">
        <f t="shared" si="16"/>
        <v>0.1857625364695923</v>
      </c>
      <c r="P27" s="5">
        <f t="shared" si="16"/>
        <v>0.18222761400206447</v>
      </c>
    </row>
    <row r="28" spans="2:16" ht="29.25" customHeight="1" thickBot="1">
      <c r="B28" s="2" t="s">
        <v>71</v>
      </c>
      <c r="C28" s="48" t="s">
        <v>96</v>
      </c>
      <c r="D28" s="5">
        <f aca="true" t="shared" si="17" ref="D28:P28">(D12*(1-D20)/(1+D13))+D18</f>
        <v>0.21170126112373583</v>
      </c>
      <c r="E28" s="5">
        <f t="shared" si="17"/>
        <v>0.21521655008031507</v>
      </c>
      <c r="F28" s="5">
        <f t="shared" si="17"/>
        <v>0.22010109188298313</v>
      </c>
      <c r="G28" s="5">
        <f t="shared" si="17"/>
        <v>0.22010109188298313</v>
      </c>
      <c r="H28" s="5">
        <f t="shared" si="17"/>
        <v>0.22013948497854074</v>
      </c>
      <c r="I28" s="5">
        <f t="shared" si="17"/>
        <v>0.22013948497854074</v>
      </c>
      <c r="J28" s="5">
        <f t="shared" si="17"/>
        <v>0.22013948497854074</v>
      </c>
      <c r="K28" s="5">
        <f t="shared" si="17"/>
        <v>0.22248892103461915</v>
      </c>
      <c r="L28" s="5">
        <f t="shared" si="17"/>
        <v>0.19336770923064245</v>
      </c>
      <c r="M28" s="5">
        <f t="shared" si="17"/>
        <v>0.19147767321566658</v>
      </c>
      <c r="N28" s="5">
        <f t="shared" si="17"/>
        <v>0.188944341910076</v>
      </c>
      <c r="O28" s="5">
        <f t="shared" si="17"/>
        <v>0.1857625364695923</v>
      </c>
      <c r="P28" s="5">
        <f t="shared" si="17"/>
        <v>0.18222761400206447</v>
      </c>
    </row>
    <row r="29" spans="2:16" ht="18" thickBot="1">
      <c r="B29" s="2" t="s">
        <v>72</v>
      </c>
      <c r="C29" s="48" t="s">
        <v>40</v>
      </c>
      <c r="D29" s="5">
        <f aca="true" t="shared" si="18" ref="D29:P29">D27-D18</f>
        <v>0.20456306112373585</v>
      </c>
      <c r="E29" s="5">
        <f t="shared" si="18"/>
        <v>0.20792835008031502</v>
      </c>
      <c r="F29" s="5">
        <f t="shared" si="18"/>
        <v>0.21260229188298313</v>
      </c>
      <c r="G29" s="5">
        <f t="shared" si="18"/>
        <v>0.21260229188298313</v>
      </c>
      <c r="H29" s="5">
        <f t="shared" si="18"/>
        <v>0.21263948497854077</v>
      </c>
      <c r="I29" s="5">
        <f t="shared" si="18"/>
        <v>0.21263948497854077</v>
      </c>
      <c r="J29" s="5">
        <f t="shared" si="18"/>
        <v>0.21263948497854077</v>
      </c>
      <c r="K29" s="5">
        <f t="shared" si="18"/>
        <v>0.21498862103461916</v>
      </c>
      <c r="L29" s="5">
        <f t="shared" si="18"/>
        <v>0.18586740923064246</v>
      </c>
      <c r="M29" s="5">
        <f t="shared" si="18"/>
        <v>0.18406737321566655</v>
      </c>
      <c r="N29" s="5">
        <f t="shared" si="18"/>
        <v>0.18165404191007598</v>
      </c>
      <c r="O29" s="5">
        <f t="shared" si="18"/>
        <v>0.1786219364695923</v>
      </c>
      <c r="P29" s="5">
        <f t="shared" si="18"/>
        <v>0.17525201400206447</v>
      </c>
    </row>
    <row r="30" spans="2:16" ht="18" thickBot="1">
      <c r="B30" s="2" t="s">
        <v>73</v>
      </c>
      <c r="C30" s="48" t="s">
        <v>97</v>
      </c>
      <c r="D30" s="49">
        <f aca="true" t="shared" si="19" ref="D30:P30">D24+D27</f>
        <v>0.2835621686008523</v>
      </c>
      <c r="E30" s="49">
        <f t="shared" si="19"/>
        <v>0.28676370681267305</v>
      </c>
      <c r="F30" s="49">
        <f t="shared" si="19"/>
        <v>0.29121228768942</v>
      </c>
      <c r="G30" s="49">
        <f t="shared" si="19"/>
        <v>0.29121228768942</v>
      </c>
      <c r="H30" s="49">
        <f t="shared" si="19"/>
        <v>0.29120171673819745</v>
      </c>
      <c r="I30" s="49">
        <f t="shared" si="19"/>
        <v>0.29120171673819745</v>
      </c>
      <c r="J30" s="49">
        <f t="shared" si="19"/>
        <v>0.29120171673819745</v>
      </c>
      <c r="K30" s="49">
        <f t="shared" si="19"/>
        <v>0.28339992722084717</v>
      </c>
      <c r="L30" s="49">
        <f t="shared" si="19"/>
        <v>0.2565601006734032</v>
      </c>
      <c r="M30" s="49">
        <f t="shared" si="19"/>
        <v>0.25481813199600606</v>
      </c>
      <c r="N30" s="49">
        <f t="shared" si="19"/>
        <v>0.25248326443324975</v>
      </c>
      <c r="O30" s="49">
        <f t="shared" si="19"/>
        <v>0.2495507248567671</v>
      </c>
      <c r="P30" s="49">
        <f t="shared" si="19"/>
        <v>0.24629273179913774</v>
      </c>
    </row>
    <row r="31" spans="2:16" ht="21" customHeight="1" thickBot="1">
      <c r="B31" s="61" t="s">
        <v>74</v>
      </c>
      <c r="C31" s="71" t="s">
        <v>41</v>
      </c>
      <c r="D31" s="80">
        <f aca="true" t="shared" si="20" ref="D31:P31">D13*(1-D20)/(1+D13)</f>
        <v>0.2747739686008523</v>
      </c>
      <c r="E31" s="80">
        <f t="shared" si="20"/>
        <v>0.2778255068126731</v>
      </c>
      <c r="F31" s="80">
        <f t="shared" si="20"/>
        <v>0.2820634876894199</v>
      </c>
      <c r="G31" s="80">
        <f t="shared" si="20"/>
        <v>0.2820634876894199</v>
      </c>
      <c r="H31" s="80">
        <f t="shared" si="20"/>
        <v>0.2821017167381974</v>
      </c>
      <c r="I31" s="80">
        <f t="shared" si="20"/>
        <v>0.2821017167381974</v>
      </c>
      <c r="J31" s="80">
        <f t="shared" si="20"/>
        <v>0.2821017167381974</v>
      </c>
      <c r="K31" s="80">
        <f t="shared" si="20"/>
        <v>0.27589962722084715</v>
      </c>
      <c r="L31" s="80">
        <f t="shared" si="20"/>
        <v>0.24905980067340322</v>
      </c>
      <c r="M31" s="80">
        <f t="shared" si="20"/>
        <v>0.24740783199600608</v>
      </c>
      <c r="N31" s="80">
        <f t="shared" si="20"/>
        <v>0.2451929644332498</v>
      </c>
      <c r="O31" s="80">
        <f t="shared" si="20"/>
        <v>0.24241012485676708</v>
      </c>
      <c r="P31" s="80">
        <f t="shared" si="20"/>
        <v>0.23931713179913777</v>
      </c>
    </row>
    <row r="32" spans="2:16" ht="20.25" customHeight="1" thickBot="1">
      <c r="B32" s="61" t="s">
        <v>75</v>
      </c>
      <c r="C32" s="71" t="s">
        <v>100</v>
      </c>
      <c r="D32" s="80">
        <f aca="true" t="shared" si="21" ref="D32:P32">D20</f>
        <v>0.0087882</v>
      </c>
      <c r="E32" s="80">
        <f t="shared" si="21"/>
        <v>0.0089382</v>
      </c>
      <c r="F32" s="80">
        <f t="shared" si="21"/>
        <v>0.0091488</v>
      </c>
      <c r="G32" s="80">
        <f t="shared" si="21"/>
        <v>0.0091488</v>
      </c>
      <c r="H32" s="80">
        <f t="shared" si="21"/>
        <v>0.0091</v>
      </c>
      <c r="I32" s="80">
        <f t="shared" si="21"/>
        <v>0.0091</v>
      </c>
      <c r="J32" s="80">
        <f t="shared" si="21"/>
        <v>0.0091</v>
      </c>
      <c r="K32" s="80">
        <f t="shared" si="21"/>
        <v>0.0075003</v>
      </c>
      <c r="L32" s="80">
        <f t="shared" si="21"/>
        <v>0.0075003</v>
      </c>
      <c r="M32" s="80">
        <f t="shared" si="21"/>
        <v>0.0074103</v>
      </c>
      <c r="N32" s="80">
        <f t="shared" si="21"/>
        <v>0.0072902999999999996</v>
      </c>
      <c r="O32" s="80">
        <f t="shared" si="21"/>
        <v>0.0071405999999999996</v>
      </c>
      <c r="P32" s="80">
        <f t="shared" si="21"/>
        <v>0.006975599999999999</v>
      </c>
    </row>
    <row r="33" spans="2:16" ht="6.75" customHeight="1" thickBot="1">
      <c r="B33" s="61"/>
      <c r="C33" s="71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2:16" ht="18" thickBot="1">
      <c r="B34" s="183" t="s">
        <v>448</v>
      </c>
      <c r="C34" s="184" t="s">
        <v>449</v>
      </c>
      <c r="D34" s="88">
        <f>D31+D32</f>
        <v>0.2835621686008523</v>
      </c>
      <c r="E34" s="88">
        <f aca="true" t="shared" si="22" ref="E34:P34">E31+E32</f>
        <v>0.2867637068126731</v>
      </c>
      <c r="F34" s="88">
        <f t="shared" si="22"/>
        <v>0.2912122876894199</v>
      </c>
      <c r="G34" s="88">
        <f t="shared" si="22"/>
        <v>0.2912122876894199</v>
      </c>
      <c r="H34" s="88">
        <f t="shared" si="22"/>
        <v>0.2912017167381974</v>
      </c>
      <c r="I34" s="88">
        <f t="shared" si="22"/>
        <v>0.2912017167381974</v>
      </c>
      <c r="J34" s="88">
        <f t="shared" si="22"/>
        <v>0.2912017167381974</v>
      </c>
      <c r="K34" s="88">
        <f t="shared" si="22"/>
        <v>0.28339992722084717</v>
      </c>
      <c r="L34" s="88">
        <f t="shared" si="22"/>
        <v>0.25656010067340324</v>
      </c>
      <c r="M34" s="88">
        <f t="shared" si="22"/>
        <v>0.25481813199600606</v>
      </c>
      <c r="N34" s="88">
        <f t="shared" si="22"/>
        <v>0.2524832644332498</v>
      </c>
      <c r="O34" s="88">
        <f t="shared" si="22"/>
        <v>0.24955072485676708</v>
      </c>
      <c r="P34" s="88">
        <f t="shared" si="22"/>
        <v>0.24629273179913777</v>
      </c>
    </row>
    <row r="35" spans="2:16" ht="18" thickBot="1">
      <c r="B35" s="183" t="s">
        <v>450</v>
      </c>
      <c r="C35" s="185" t="s">
        <v>451</v>
      </c>
      <c r="D35" s="88">
        <f>'3_Synthèse calcul taux_et cfis'!E25</f>
        <v>0.2835621686008523</v>
      </c>
      <c r="E35" s="88">
        <f>'3_Synthèse calcul taux_et cfis'!F25</f>
        <v>0.2867637068126731</v>
      </c>
      <c r="F35" s="88">
        <f>'3_Synthèse calcul taux_et cfis'!G25</f>
        <v>0.2912122876894199</v>
      </c>
      <c r="G35" s="88">
        <f>'3_Synthèse calcul taux_et cfis'!H25</f>
        <v>0.2912122876894199</v>
      </c>
      <c r="H35" s="88">
        <f>'3_Synthèse calcul taux_et cfis'!I25</f>
        <v>0.2912017167381974</v>
      </c>
      <c r="I35" s="88">
        <f>'3_Synthèse calcul taux_et cfis'!J25</f>
        <v>0.2912017167381974</v>
      </c>
      <c r="J35" s="88">
        <f>'3_Synthèse calcul taux_et cfis'!K25</f>
        <v>0.2912017167381974</v>
      </c>
      <c r="K35" s="88">
        <f>'3_Synthèse calcul taux_et cfis'!L25</f>
        <v>0.28339992722084717</v>
      </c>
      <c r="L35" s="88">
        <f>'3_Synthèse calcul taux_et cfis'!M25</f>
        <v>0.25656010067340324</v>
      </c>
      <c r="M35" s="88">
        <f>'3_Synthèse calcul taux_et cfis'!N25</f>
        <v>0.25481813199600606</v>
      </c>
      <c r="N35" s="88">
        <f>'3_Synthèse calcul taux_et cfis'!O25</f>
        <v>0.2524832644332498</v>
      </c>
      <c r="O35" s="88">
        <f>'3_Synthèse calcul taux_et cfis'!P25</f>
        <v>0.24955072485676708</v>
      </c>
      <c r="P35" s="88">
        <f>'3_Synthèse calcul taux_et cfis'!Q25</f>
        <v>0.24629273179913777</v>
      </c>
    </row>
    <row r="36" spans="2:16" ht="18" thickBot="1">
      <c r="B36" s="186" t="s">
        <v>452</v>
      </c>
      <c r="C36" s="185" t="s">
        <v>454</v>
      </c>
      <c r="D36" s="88">
        <f>'3_Synthèse calcul taux_et cfis'!E26</f>
        <v>0.283556</v>
      </c>
      <c r="E36" s="88">
        <f>'3_Synthèse calcul taux_et cfis'!F26</f>
        <v>0.28675</v>
      </c>
      <c r="F36" s="88">
        <f>'3_Synthèse calcul taux_et cfis'!G26</f>
        <v>0.291217</v>
      </c>
      <c r="G36" s="88">
        <f>'3_Synthèse calcul taux_et cfis'!H26</f>
        <v>0.291217</v>
      </c>
      <c r="H36" s="88">
        <f>'3_Synthèse calcul taux_et cfis'!I26</f>
        <v>0.291202</v>
      </c>
      <c r="I36" s="88">
        <f>'3_Synthèse calcul taux_et cfis'!J26</f>
        <v>0.291202</v>
      </c>
      <c r="J36" s="88">
        <f>'3_Synthèse calcul taux_et cfis'!K26</f>
        <v>0.291211</v>
      </c>
      <c r="K36" s="88">
        <f>'3_Synthèse calcul taux_et cfis'!L26</f>
        <v>0.2834</v>
      </c>
      <c r="L36" s="88">
        <f>'3_Synthèse calcul taux_et cfis'!M26</f>
        <v>0.256547</v>
      </c>
      <c r="M36" s="88">
        <f>'3_Synthèse calcul taux_et cfis'!N26</f>
        <v>0.254824</v>
      </c>
      <c r="N36" s="88">
        <f>'3_Synthèse calcul taux_et cfis'!O26</f>
        <v>0.252477</v>
      </c>
      <c r="O36" s="88">
        <f>'3_Synthèse calcul taux_et cfis'!P26</f>
        <v>0.249535</v>
      </c>
      <c r="P36" s="88">
        <f>'3_Synthèse calcul taux_et cfis'!Q26</f>
        <v>0.24629</v>
      </c>
    </row>
    <row r="37" spans="2:16" ht="18" thickBot="1">
      <c r="B37" s="183" t="s">
        <v>456</v>
      </c>
      <c r="C37" s="189" t="s">
        <v>457</v>
      </c>
      <c r="D37" s="88">
        <f>D34-D35</f>
        <v>0</v>
      </c>
      <c r="E37" s="88">
        <f aca="true" t="shared" si="23" ref="E37:P37">E34-E35</f>
        <v>0</v>
      </c>
      <c r="F37" s="88">
        <f t="shared" si="23"/>
        <v>0</v>
      </c>
      <c r="G37" s="88">
        <f t="shared" si="23"/>
        <v>0</v>
      </c>
      <c r="H37" s="88">
        <f t="shared" si="23"/>
        <v>0</v>
      </c>
      <c r="I37" s="88">
        <f t="shared" si="23"/>
        <v>0</v>
      </c>
      <c r="J37" s="88">
        <f t="shared" si="23"/>
        <v>0</v>
      </c>
      <c r="K37" s="88">
        <f t="shared" si="23"/>
        <v>0</v>
      </c>
      <c r="L37" s="88">
        <f t="shared" si="23"/>
        <v>0</v>
      </c>
      <c r="M37" s="88">
        <f t="shared" si="23"/>
        <v>0</v>
      </c>
      <c r="N37" s="88">
        <f t="shared" si="23"/>
        <v>0</v>
      </c>
      <c r="O37" s="88">
        <f t="shared" si="23"/>
        <v>0</v>
      </c>
      <c r="P37" s="88">
        <f t="shared" si="23"/>
        <v>0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K1">
      <selection activeCell="S8" sqref="S8"/>
    </sheetView>
  </sheetViews>
  <sheetFormatPr defaultColWidth="12" defaultRowHeight="11.25"/>
  <cols>
    <col min="2" max="2" width="69.16015625" style="0" customWidth="1"/>
    <col min="3" max="3" width="32.33203125" style="0" customWidth="1"/>
    <col min="4" max="4" width="18.83203125" style="0" customWidth="1"/>
    <col min="6" max="6" width="13" style="0" customWidth="1"/>
    <col min="7" max="7" width="15.33203125" style="0" customWidth="1"/>
    <col min="8" max="8" width="12.5" style="0" customWidth="1"/>
    <col min="9" max="9" width="13.83203125" style="0" customWidth="1"/>
    <col min="10" max="10" width="12.66015625" style="0" customWidth="1"/>
    <col min="11" max="11" width="13.83203125" style="0" customWidth="1"/>
    <col min="12" max="12" width="13.5" style="0" customWidth="1"/>
    <col min="13" max="13" width="14.66015625" style="0" customWidth="1"/>
    <col min="14" max="14" width="12.66015625" style="0" bestFit="1" customWidth="1"/>
  </cols>
  <sheetData>
    <row r="1" ht="11.25">
      <c r="A1" s="142" t="s">
        <v>322</v>
      </c>
    </row>
    <row r="2" ht="17.25" customHeight="1" thickBot="1"/>
    <row r="3" spans="2:16" ht="42.75" customHeight="1" thickBot="1">
      <c r="B3" s="18" t="s">
        <v>265</v>
      </c>
      <c r="C3" s="101" t="s">
        <v>172</v>
      </c>
      <c r="D3" s="1">
        <v>1991</v>
      </c>
      <c r="E3" s="1">
        <f>D3+1</f>
        <v>1992</v>
      </c>
      <c r="F3" s="1">
        <f aca="true" t="shared" si="0" ref="F3:L3">E3+1</f>
        <v>1993</v>
      </c>
      <c r="G3" s="1">
        <f t="shared" si="0"/>
        <v>1994</v>
      </c>
      <c r="H3" s="1">
        <f t="shared" si="0"/>
        <v>1995</v>
      </c>
      <c r="I3" s="1">
        <f t="shared" si="0"/>
        <v>1996</v>
      </c>
      <c r="J3" s="1">
        <f t="shared" si="0"/>
        <v>1997</v>
      </c>
      <c r="K3" s="1">
        <f t="shared" si="0"/>
        <v>1998</v>
      </c>
      <c r="L3" s="1">
        <f t="shared" si="0"/>
        <v>1999</v>
      </c>
      <c r="M3" s="1">
        <v>2000</v>
      </c>
      <c r="N3" s="1">
        <v>2001</v>
      </c>
      <c r="O3" s="1">
        <v>2002</v>
      </c>
      <c r="P3" s="1">
        <v>2003</v>
      </c>
    </row>
    <row r="4" spans="2:16" ht="24" customHeight="1" thickBot="1">
      <c r="B4" s="2" t="s">
        <v>92</v>
      </c>
      <c r="C4" s="48" t="s">
        <v>28</v>
      </c>
      <c r="D4" s="3">
        <f>'10_Recap_ tc et tk nominaux'!D9</f>
        <v>0.098</v>
      </c>
      <c r="E4" s="3">
        <f>'10_Recap_ tc et tk nominaux'!E9</f>
        <v>0.098</v>
      </c>
      <c r="F4" s="3">
        <f>'10_Recap_ tc et tk nominaux'!F9</f>
        <v>0.098</v>
      </c>
      <c r="G4" s="3">
        <f>'10_Recap_ tc et tk nominaux'!G9</f>
        <v>0.098</v>
      </c>
      <c r="H4" s="3">
        <f>'10_Recap_ tc et tk nominaux'!H9</f>
        <v>0.098</v>
      </c>
      <c r="I4" s="3">
        <f>'10_Recap_ tc et tk nominaux'!I9</f>
        <v>0.098</v>
      </c>
      <c r="J4" s="3">
        <f>'10_Recap_ tc et tk nominaux'!J9</f>
        <v>0.098</v>
      </c>
      <c r="K4" s="3">
        <f>'10_Recap_ tc et tk nominaux'!K9</f>
        <v>0.085</v>
      </c>
      <c r="L4" s="3">
        <f>'10_Recap_ tc et tk nominaux'!L9</f>
        <v>0.085</v>
      </c>
      <c r="M4" s="3">
        <f>'10_Recap_ tc et tk nominaux'!M9</f>
        <v>0.085</v>
      </c>
      <c r="N4" s="3">
        <f>'10_Recap_ tc et tk nominaux'!N9</f>
        <v>0.085</v>
      </c>
      <c r="O4" s="3">
        <f>'10_Recap_ tc et tk nominaux'!O9</f>
        <v>0.085</v>
      </c>
      <c r="P4" s="3">
        <f>'10_Recap_ tc et tk nominaux'!P9</f>
        <v>0.085</v>
      </c>
    </row>
    <row r="5" spans="2:16" ht="24" customHeight="1" thickBot="1">
      <c r="B5" s="2" t="s">
        <v>93</v>
      </c>
      <c r="C5" s="78" t="s">
        <v>112</v>
      </c>
      <c r="D5" s="3">
        <f>'10_Recap_ tc et tk nominaux'!D10</f>
        <v>0.12</v>
      </c>
      <c r="E5" s="3">
        <f>'10_Recap_ tc et tk nominaux'!E10</f>
        <v>0.12</v>
      </c>
      <c r="F5" s="3">
        <f>'10_Recap_ tc et tk nominaux'!F10</f>
        <v>0.12</v>
      </c>
      <c r="G5" s="3">
        <f>'10_Recap_ tc et tk nominaux'!G10</f>
        <v>0.12</v>
      </c>
      <c r="H5" s="3">
        <f>'10_Recap_ tc et tk nominaux'!H10</f>
        <v>0.12</v>
      </c>
      <c r="I5" s="3">
        <f>'10_Recap_ tc et tk nominaux'!I10</f>
        <v>0.12</v>
      </c>
      <c r="J5" s="3">
        <f>'10_Recap_ tc et tk nominaux'!J10</f>
        <v>0.12</v>
      </c>
      <c r="K5" s="3">
        <f>'10_Recap_ tc et tk nominaux'!K10</f>
        <v>0.12</v>
      </c>
      <c r="L5" s="3">
        <f>'10_Recap_ tc et tk nominaux'!L10</f>
        <v>0.1</v>
      </c>
      <c r="M5" s="3">
        <f>'10_Recap_ tc et tk nominaux'!M10</f>
        <v>0.1</v>
      </c>
      <c r="N5" s="3">
        <f>'10_Recap_ tc et tk nominaux'!N10</f>
        <v>0.1</v>
      </c>
      <c r="O5" s="3">
        <f>'10_Recap_ tc et tk nominaux'!O10</f>
        <v>0.1</v>
      </c>
      <c r="P5" s="3">
        <f>'10_Recap_ tc et tk nominaux'!P10</f>
        <v>0.1</v>
      </c>
    </row>
    <row r="6" spans="2:16" ht="24" customHeight="1" thickBot="1">
      <c r="B6" s="2" t="s">
        <v>64</v>
      </c>
      <c r="C6" s="78" t="s">
        <v>166</v>
      </c>
      <c r="D6" s="8">
        <f>'10_Recap_ tc et tk nominaux'!D11</f>
        <v>2.3794</v>
      </c>
      <c r="E6" s="8">
        <f>'10_Recap_ tc et tk nominaux'!E11</f>
        <v>2.4294000000000002</v>
      </c>
      <c r="F6" s="8">
        <f>'10_Recap_ tc et tk nominaux'!F11</f>
        <v>2.4996</v>
      </c>
      <c r="G6" s="8">
        <f>'10_Recap_ tc et tk nominaux'!G11</f>
        <v>2.4996</v>
      </c>
      <c r="H6" s="8">
        <f>'10_Recap_ tc et tk nominaux'!H11</f>
        <v>2.5</v>
      </c>
      <c r="I6" s="8">
        <f>'10_Recap_ tc et tk nominaux'!I11</f>
        <v>2.5</v>
      </c>
      <c r="J6" s="8">
        <f>'10_Recap_ tc et tk nominaux'!J11</f>
        <v>2.5</v>
      </c>
      <c r="K6" s="8">
        <f>'10_Recap_ tc et tk nominaux'!K11</f>
        <v>2.5000999999999998</v>
      </c>
      <c r="L6" s="8">
        <f>'10_Recap_ tc et tk nominaux'!L11</f>
        <v>2.5000999999999998</v>
      </c>
      <c r="M6" s="8">
        <f>'10_Recap_ tc et tk nominaux'!M11</f>
        <v>2.4701</v>
      </c>
      <c r="N6" s="8">
        <f>'10_Recap_ tc et tk nominaux'!N11</f>
        <v>2.4301</v>
      </c>
      <c r="O6" s="8">
        <f>'10_Recap_ tc et tk nominaux'!O11</f>
        <v>2.3802</v>
      </c>
      <c r="P6" s="8">
        <f>'10_Recap_ tc et tk nominaux'!P11</f>
        <v>2.3251999999999997</v>
      </c>
    </row>
    <row r="7" spans="2:16" ht="31.5" customHeight="1" thickBot="1">
      <c r="B7" s="2" t="s">
        <v>65</v>
      </c>
      <c r="C7" s="78" t="s">
        <v>113</v>
      </c>
      <c r="D7" s="5">
        <f>D5*D6</f>
        <v>0.285528</v>
      </c>
      <c r="E7" s="5">
        <f>E5*E6</f>
        <v>0.291528</v>
      </c>
      <c r="F7" s="5">
        <f aca="true" t="shared" si="1" ref="F7:N7">F5*F6</f>
        <v>0.299952</v>
      </c>
      <c r="G7" s="5">
        <f t="shared" si="1"/>
        <v>0.299952</v>
      </c>
      <c r="H7" s="5">
        <f t="shared" si="1"/>
        <v>0.3</v>
      </c>
      <c r="I7" s="5">
        <f t="shared" si="1"/>
        <v>0.3</v>
      </c>
      <c r="J7" s="5">
        <f t="shared" si="1"/>
        <v>0.3</v>
      </c>
      <c r="K7" s="5">
        <f t="shared" si="1"/>
        <v>0.30001199999999995</v>
      </c>
      <c r="L7" s="5">
        <f t="shared" si="1"/>
        <v>0.25001</v>
      </c>
      <c r="M7" s="5">
        <f t="shared" si="1"/>
        <v>0.24701</v>
      </c>
      <c r="N7" s="5">
        <f t="shared" si="1"/>
        <v>0.24301</v>
      </c>
      <c r="O7" s="5">
        <f>O5*O6</f>
        <v>0.23802</v>
      </c>
      <c r="P7" s="5">
        <f>P5*P6</f>
        <v>0.23251999999999998</v>
      </c>
    </row>
    <row r="8" spans="2:16" ht="27.75" customHeight="1" thickBot="1">
      <c r="B8" s="2" t="s">
        <v>66</v>
      </c>
      <c r="C8" s="78" t="s">
        <v>114</v>
      </c>
      <c r="D8" s="3">
        <f>D4+D7</f>
        <v>0.383528</v>
      </c>
      <c r="E8" s="3">
        <f>E4+E7</f>
        <v>0.389528</v>
      </c>
      <c r="F8" s="3">
        <f aca="true" t="shared" si="2" ref="F8:N8">F4+F7</f>
        <v>0.397952</v>
      </c>
      <c r="G8" s="3">
        <f t="shared" si="2"/>
        <v>0.397952</v>
      </c>
      <c r="H8" s="3">
        <f t="shared" si="2"/>
        <v>0.398</v>
      </c>
      <c r="I8" s="3">
        <f t="shared" si="2"/>
        <v>0.398</v>
      </c>
      <c r="J8" s="3">
        <f t="shared" si="2"/>
        <v>0.398</v>
      </c>
      <c r="K8" s="3">
        <f t="shared" si="2"/>
        <v>0.38501199999999997</v>
      </c>
      <c r="L8" s="3">
        <f t="shared" si="2"/>
        <v>0.33501000000000003</v>
      </c>
      <c r="M8" s="3">
        <f t="shared" si="2"/>
        <v>0.33201</v>
      </c>
      <c r="N8" s="3">
        <f t="shared" si="2"/>
        <v>0.32801</v>
      </c>
      <c r="O8" s="3">
        <f>O4+O7</f>
        <v>0.32302000000000003</v>
      </c>
      <c r="P8" s="3">
        <f>P4+P7</f>
        <v>0.31751999999999997</v>
      </c>
    </row>
    <row r="9" spans="2:16" ht="27.75" customHeight="1" thickBot="1">
      <c r="B9" s="2" t="s">
        <v>67</v>
      </c>
      <c r="C9" s="48" t="s">
        <v>58</v>
      </c>
      <c r="D9" s="3">
        <f>D8/(1+D8)</f>
        <v>0.27721014681307493</v>
      </c>
      <c r="E9" s="3">
        <f>E8/(1+E8)</f>
        <v>0.2803311628121204</v>
      </c>
      <c r="F9" s="3">
        <f aca="true" t="shared" si="3" ref="F9:N9">F8/(1+F8)</f>
        <v>0.2846678569793526</v>
      </c>
      <c r="G9" s="3">
        <f t="shared" si="3"/>
        <v>0.2846678569793526</v>
      </c>
      <c r="H9" s="3">
        <f t="shared" si="3"/>
        <v>0.284692417739628</v>
      </c>
      <c r="I9" s="3">
        <f t="shared" si="3"/>
        <v>0.284692417739628</v>
      </c>
      <c r="J9" s="3">
        <f t="shared" si="3"/>
        <v>0.284692417739628</v>
      </c>
      <c r="K9" s="3">
        <f t="shared" si="3"/>
        <v>0.2779845950793206</v>
      </c>
      <c r="L9" s="3">
        <f t="shared" si="3"/>
        <v>0.25094194050980895</v>
      </c>
      <c r="M9" s="3">
        <f t="shared" si="3"/>
        <v>0.24925488547383282</v>
      </c>
      <c r="N9" s="3">
        <f t="shared" si="3"/>
        <v>0.2469936220359787</v>
      </c>
      <c r="O9" s="49">
        <f>O8/(1+O8)</f>
        <v>0.244153527535487</v>
      </c>
      <c r="P9" s="3">
        <f>P8/(1+P8)</f>
        <v>0.24099823911591473</v>
      </c>
    </row>
    <row r="10" spans="2:16" ht="34.5" customHeight="1" thickBot="1">
      <c r="B10" s="6" t="s">
        <v>68</v>
      </c>
      <c r="C10" s="48" t="s">
        <v>441</v>
      </c>
      <c r="D10" s="45">
        <f>D4*(1-D9)</f>
        <v>0.07083340561231866</v>
      </c>
      <c r="E10" s="45">
        <f>E4*(1-E9)</f>
        <v>0.0705275460444122</v>
      </c>
      <c r="F10" s="45">
        <f aca="true" t="shared" si="4" ref="F10:N10">F4*(1-F9)</f>
        <v>0.07010255001602345</v>
      </c>
      <c r="G10" s="45">
        <f t="shared" si="4"/>
        <v>0.07010255001602345</v>
      </c>
      <c r="H10" s="45">
        <f t="shared" si="4"/>
        <v>0.07010014306151646</v>
      </c>
      <c r="I10" s="45">
        <f t="shared" si="4"/>
        <v>0.07010014306151646</v>
      </c>
      <c r="J10" s="45">
        <f t="shared" si="4"/>
        <v>0.07010014306151646</v>
      </c>
      <c r="K10" s="45">
        <f t="shared" si="4"/>
        <v>0.061371309418257754</v>
      </c>
      <c r="L10" s="45">
        <f t="shared" si="4"/>
        <v>0.06366993505666624</v>
      </c>
      <c r="M10" s="45">
        <f t="shared" si="4"/>
        <v>0.06381333473472421</v>
      </c>
      <c r="N10" s="45">
        <f t="shared" si="4"/>
        <v>0.06400554212694182</v>
      </c>
      <c r="O10" s="45">
        <f>O4*(1-O9)</f>
        <v>0.0642469501594836</v>
      </c>
      <c r="P10" s="45">
        <f>P4*(1-P9)</f>
        <v>0.06451514967514725</v>
      </c>
    </row>
    <row r="11" spans="2:16" ht="24.75" customHeight="1" thickBot="1">
      <c r="B11" s="6" t="s">
        <v>69</v>
      </c>
      <c r="C11" s="48" t="s">
        <v>442</v>
      </c>
      <c r="D11" s="45">
        <f>D7*(1-D9)</f>
        <v>0.20637674120075633</v>
      </c>
      <c r="E11" s="45">
        <f>E7*(1-E9)</f>
        <v>0.2098036167677082</v>
      </c>
      <c r="F11" s="45">
        <f aca="true" t="shared" si="5" ref="F11:L11">F7*(1-F9)</f>
        <v>0.21456530696332923</v>
      </c>
      <c r="G11" s="45">
        <f t="shared" si="5"/>
        <v>0.21456530696332923</v>
      </c>
      <c r="H11" s="45">
        <f t="shared" si="5"/>
        <v>0.21459227467811162</v>
      </c>
      <c r="I11" s="45">
        <f t="shared" si="5"/>
        <v>0.21459227467811162</v>
      </c>
      <c r="J11" s="45">
        <f t="shared" si="5"/>
        <v>0.21459227467811162</v>
      </c>
      <c r="K11" s="45">
        <f t="shared" si="5"/>
        <v>0.21661328566106283</v>
      </c>
      <c r="L11" s="45">
        <f t="shared" si="5"/>
        <v>0.18727200545314265</v>
      </c>
      <c r="M11" s="45">
        <f>M7*(1-M9)</f>
        <v>0.18544155073910856</v>
      </c>
      <c r="N11" s="45">
        <f>N7*(1-N9)</f>
        <v>0.18298807990903682</v>
      </c>
      <c r="O11" s="45">
        <f>O7*(1-O9)</f>
        <v>0.17990657737600338</v>
      </c>
      <c r="P11" s="182">
        <f>P7*(1-P9)</f>
        <v>0.17648308944076752</v>
      </c>
    </row>
    <row r="12" spans="2:16" ht="7.5" customHeight="1" thickBot="1">
      <c r="B12" s="70"/>
      <c r="C12" s="71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4"/>
    </row>
    <row r="13" spans="2:16" ht="21.75" customHeight="1" thickBot="1">
      <c r="B13" s="183" t="s">
        <v>458</v>
      </c>
      <c r="C13" s="185" t="s">
        <v>459</v>
      </c>
      <c r="D13" s="88">
        <f aca="true" t="shared" si="6" ref="D13:P13">D10+D11</f>
        <v>0.277210146813075</v>
      </c>
      <c r="E13" s="88">
        <f t="shared" si="6"/>
        <v>0.2803311628121204</v>
      </c>
      <c r="F13" s="88">
        <f t="shared" si="6"/>
        <v>0.2846678569793527</v>
      </c>
      <c r="G13" s="88">
        <f t="shared" si="6"/>
        <v>0.2846678569793527</v>
      </c>
      <c r="H13" s="88">
        <f t="shared" si="6"/>
        <v>0.28469241773962806</v>
      </c>
      <c r="I13" s="88">
        <f t="shared" si="6"/>
        <v>0.28469241773962806</v>
      </c>
      <c r="J13" s="88">
        <f t="shared" si="6"/>
        <v>0.28469241773962806</v>
      </c>
      <c r="K13" s="88">
        <f t="shared" si="6"/>
        <v>0.2779845950793206</v>
      </c>
      <c r="L13" s="88">
        <f t="shared" si="6"/>
        <v>0.2509419405098089</v>
      </c>
      <c r="M13" s="88">
        <f t="shared" si="6"/>
        <v>0.2492548854738328</v>
      </c>
      <c r="N13" s="88">
        <f t="shared" si="6"/>
        <v>0.24699362203597863</v>
      </c>
      <c r="O13" s="88">
        <f t="shared" si="6"/>
        <v>0.24415352753548697</v>
      </c>
      <c r="P13" s="88">
        <f t="shared" si="6"/>
        <v>0.24099823911591478</v>
      </c>
    </row>
    <row r="14" spans="2:16" ht="13.5" thickBot="1">
      <c r="B14" s="183" t="s">
        <v>460</v>
      </c>
      <c r="C14" s="187" t="s">
        <v>461</v>
      </c>
      <c r="D14" s="88">
        <f aca="true" t="shared" si="7" ref="D14:P14">D9-D13</f>
        <v>0</v>
      </c>
      <c r="E14" s="88">
        <f t="shared" si="7"/>
        <v>0</v>
      </c>
      <c r="F14" s="88">
        <f t="shared" si="7"/>
        <v>0</v>
      </c>
      <c r="G14" s="88">
        <f t="shared" si="7"/>
        <v>0</v>
      </c>
      <c r="H14" s="88">
        <f t="shared" si="7"/>
        <v>0</v>
      </c>
      <c r="I14" s="88">
        <f t="shared" si="7"/>
        <v>0</v>
      </c>
      <c r="J14" s="88">
        <f t="shared" si="7"/>
        <v>0</v>
      </c>
      <c r="K14" s="88">
        <f t="shared" si="7"/>
        <v>0</v>
      </c>
      <c r="L14" s="88">
        <f t="shared" si="7"/>
        <v>0</v>
      </c>
      <c r="M14" s="88">
        <f t="shared" si="7"/>
        <v>0</v>
      </c>
      <c r="N14" s="88">
        <f t="shared" si="7"/>
        <v>0</v>
      </c>
      <c r="O14" s="88">
        <f t="shared" si="7"/>
        <v>0</v>
      </c>
      <c r="P14" s="88">
        <f t="shared" si="7"/>
        <v>0</v>
      </c>
    </row>
    <row r="15" spans="2:16" ht="19.5" thickBot="1">
      <c r="B15" s="183" t="s">
        <v>468</v>
      </c>
      <c r="C15" s="185" t="s">
        <v>477</v>
      </c>
      <c r="D15" s="88">
        <f>'8_Calcul des t'' avec capital'!D15</f>
        <v>0.00165</v>
      </c>
      <c r="E15" s="88">
        <f>'8_Calcul des t'' avec capital'!E15</f>
        <v>0.00165</v>
      </c>
      <c r="F15" s="88">
        <f>'8_Calcul des t'' avec capital'!F15</f>
        <v>0.00165</v>
      </c>
      <c r="G15" s="88">
        <f>'8_Calcul des t'' avec capital'!G15</f>
        <v>0.00165</v>
      </c>
      <c r="H15" s="88">
        <f>'8_Calcul des t'' avec capital'!H15</f>
        <v>0.0016</v>
      </c>
      <c r="I15" s="88">
        <f>'8_Calcul des t'' avec capital'!I15</f>
        <v>0.0016</v>
      </c>
      <c r="J15" s="88">
        <f>'8_Calcul des t'' avec capital'!J15</f>
        <v>0.0016</v>
      </c>
      <c r="K15" s="88">
        <f>'8_Calcul des t'' avec capital'!K15</f>
        <v>0</v>
      </c>
      <c r="L15" s="88">
        <f>'8_Calcul des t'' avec capital'!L15</f>
        <v>0</v>
      </c>
      <c r="M15" s="88">
        <f>'8_Calcul des t'' avec capital'!M15</f>
        <v>0</v>
      </c>
      <c r="N15" s="88">
        <f>'8_Calcul des t'' avec capital'!N15</f>
        <v>0</v>
      </c>
      <c r="O15" s="88">
        <f>'8_Calcul des t'' avec capital'!O15</f>
        <v>0</v>
      </c>
      <c r="P15" s="88">
        <f>'8_Calcul des t'' avec capital'!P15</f>
        <v>0</v>
      </c>
    </row>
    <row r="16" spans="2:16" ht="19.5" thickBot="1">
      <c r="B16" s="183" t="s">
        <v>469</v>
      </c>
      <c r="C16" s="185" t="s">
        <v>28</v>
      </c>
      <c r="D16" s="88">
        <f>'8_Calcul des t'' avec capital'!D9</f>
        <v>0.098</v>
      </c>
      <c r="E16" s="88">
        <f>'8_Calcul des t'' avec capital'!E9</f>
        <v>0.098</v>
      </c>
      <c r="F16" s="88">
        <f>'8_Calcul des t'' avec capital'!F9</f>
        <v>0.098</v>
      </c>
      <c r="G16" s="88">
        <f>'8_Calcul des t'' avec capital'!G9</f>
        <v>0.098</v>
      </c>
      <c r="H16" s="88">
        <f>'8_Calcul des t'' avec capital'!H9</f>
        <v>0.098</v>
      </c>
      <c r="I16" s="88">
        <f>'8_Calcul des t'' avec capital'!I9</f>
        <v>0.098</v>
      </c>
      <c r="J16" s="88">
        <f>'8_Calcul des t'' avec capital'!J9</f>
        <v>0.098</v>
      </c>
      <c r="K16" s="88">
        <f>'8_Calcul des t'' avec capital'!K9</f>
        <v>0.085</v>
      </c>
      <c r="L16" s="88">
        <f>'8_Calcul des t'' avec capital'!L9</f>
        <v>0.085</v>
      </c>
      <c r="M16" s="88">
        <f>'8_Calcul des t'' avec capital'!M9</f>
        <v>0.085</v>
      </c>
      <c r="N16" s="88">
        <f>'8_Calcul des t'' avec capital'!N9</f>
        <v>0.085</v>
      </c>
      <c r="O16" s="88">
        <f>'8_Calcul des t'' avec capital'!O9</f>
        <v>0.085</v>
      </c>
      <c r="P16" s="88">
        <f>'8_Calcul des t'' avec capital'!P9</f>
        <v>0.085</v>
      </c>
    </row>
    <row r="17" spans="2:16" ht="19.5" thickBot="1">
      <c r="B17" s="183" t="s">
        <v>470</v>
      </c>
      <c r="C17" s="185" t="s">
        <v>478</v>
      </c>
      <c r="D17" s="88">
        <f>'8_Calcul des t'' avec capital'!D20</f>
        <v>0.0087882</v>
      </c>
      <c r="E17" s="88">
        <f>'8_Calcul des t'' avec capital'!E20</f>
        <v>0.0089382</v>
      </c>
      <c r="F17" s="88">
        <f>'8_Calcul des t'' avec capital'!F20</f>
        <v>0.0091488</v>
      </c>
      <c r="G17" s="88">
        <f>'8_Calcul des t'' avec capital'!G20</f>
        <v>0.0091488</v>
      </c>
      <c r="H17" s="88">
        <f>'8_Calcul des t'' avec capital'!H20</f>
        <v>0.0091</v>
      </c>
      <c r="I17" s="88">
        <f>'8_Calcul des t'' avec capital'!I20</f>
        <v>0.0091</v>
      </c>
      <c r="J17" s="88">
        <f>'8_Calcul des t'' avec capital'!J20</f>
        <v>0.0091</v>
      </c>
      <c r="K17" s="88">
        <f>'8_Calcul des t'' avec capital'!K20</f>
        <v>0.0075003</v>
      </c>
      <c r="L17" s="88">
        <f>'8_Calcul des t'' avec capital'!L20</f>
        <v>0.0075003</v>
      </c>
      <c r="M17" s="88">
        <f>'8_Calcul des t'' avec capital'!M20</f>
        <v>0.0074103</v>
      </c>
      <c r="N17" s="88">
        <f>'8_Calcul des t'' avec capital'!N20</f>
        <v>0.0072902999999999996</v>
      </c>
      <c r="O17" s="88">
        <f>'8_Calcul des t'' avec capital'!O20</f>
        <v>0.0071405999999999996</v>
      </c>
      <c r="P17" s="88">
        <f>'8_Calcul des t'' avec capital'!P20</f>
        <v>0.006975599999999999</v>
      </c>
    </row>
    <row r="18" spans="2:16" ht="19.5" thickBot="1">
      <c r="B18" s="183" t="s">
        <v>471</v>
      </c>
      <c r="C18" s="185" t="s">
        <v>256</v>
      </c>
      <c r="D18" s="88">
        <f>'8_Calcul des t'' avec capital'!D13</f>
        <v>0.383528</v>
      </c>
      <c r="E18" s="88">
        <f>'8_Calcul des t'' avec capital'!E13</f>
        <v>0.389528</v>
      </c>
      <c r="F18" s="88">
        <f>'8_Calcul des t'' avec capital'!F13</f>
        <v>0.397952</v>
      </c>
      <c r="G18" s="88">
        <f>'8_Calcul des t'' avec capital'!G13</f>
        <v>0.397952</v>
      </c>
      <c r="H18" s="88">
        <f>'8_Calcul des t'' avec capital'!H13</f>
        <v>0.398</v>
      </c>
      <c r="I18" s="88">
        <f>'8_Calcul des t'' avec capital'!I13</f>
        <v>0.398</v>
      </c>
      <c r="J18" s="88">
        <f>'8_Calcul des t'' avec capital'!J13</f>
        <v>0.398</v>
      </c>
      <c r="K18" s="88">
        <f>'8_Calcul des t'' avec capital'!K13</f>
        <v>0.38501199999999997</v>
      </c>
      <c r="L18" s="88">
        <f>'8_Calcul des t'' avec capital'!L13</f>
        <v>0.33501000000000003</v>
      </c>
      <c r="M18" s="88">
        <f>'8_Calcul des t'' avec capital'!M13</f>
        <v>0.33201</v>
      </c>
      <c r="N18" s="88">
        <f>'8_Calcul des t'' avec capital'!N13</f>
        <v>0.32801</v>
      </c>
      <c r="O18" s="88">
        <f>'8_Calcul des t'' avec capital'!O13</f>
        <v>0.32302000000000003</v>
      </c>
      <c r="P18" s="88">
        <f>'8_Calcul des t'' avec capital'!P13</f>
        <v>0.31751999999999997</v>
      </c>
    </row>
    <row r="19" spans="2:16" ht="57" thickBot="1">
      <c r="B19" s="183" t="s">
        <v>475</v>
      </c>
      <c r="C19" s="191" t="s">
        <v>481</v>
      </c>
      <c r="D19" s="45">
        <f>D10+D15-((D16*D17)/(1+D18))</f>
        <v>0.07186090747711647</v>
      </c>
      <c r="E19" s="45">
        <f aca="true" t="shared" si="8" ref="E19:P19">E10+E15-((E16*E17)/(1+E18))</f>
        <v>0.07154715673235804</v>
      </c>
      <c r="F19" s="45">
        <f t="shared" si="8"/>
        <v>0.07111119580643685</v>
      </c>
      <c r="G19" s="45">
        <f t="shared" si="8"/>
        <v>0.07111119580643685</v>
      </c>
      <c r="H19" s="45">
        <f t="shared" si="8"/>
        <v>0.07106223175965666</v>
      </c>
      <c r="I19" s="45">
        <f t="shared" si="8"/>
        <v>0.07106223175965666</v>
      </c>
      <c r="J19" s="45">
        <f t="shared" si="8"/>
        <v>0.07106223175965666</v>
      </c>
      <c r="K19" s="45">
        <f t="shared" si="8"/>
        <v>0.060911006186227995</v>
      </c>
      <c r="L19" s="45">
        <f t="shared" si="8"/>
        <v>0.06319239144276072</v>
      </c>
      <c r="M19" s="45">
        <f t="shared" si="8"/>
        <v>0.06334045878033949</v>
      </c>
      <c r="N19" s="45">
        <f t="shared" si="8"/>
        <v>0.06353892252317378</v>
      </c>
      <c r="O19" s="45">
        <f t="shared" si="8"/>
        <v>0.0637881883871748</v>
      </c>
      <c r="P19" s="45">
        <f t="shared" si="8"/>
        <v>0.0640651177970733</v>
      </c>
    </row>
    <row r="20" spans="2:16" ht="19.5" thickBot="1">
      <c r="B20" s="183" t="s">
        <v>464</v>
      </c>
      <c r="C20" s="192" t="s">
        <v>465</v>
      </c>
      <c r="D20" s="45">
        <f>'8_Calcul des t'' avec capital'!D25</f>
        <v>0.07186090747711646</v>
      </c>
      <c r="E20" s="45">
        <f>'8_Calcul des t'' avec capital'!E25</f>
        <v>0.07154715673235805</v>
      </c>
      <c r="F20" s="45">
        <f>'8_Calcul des t'' avec capital'!F25</f>
        <v>0.07111119580643685</v>
      </c>
      <c r="G20" s="45">
        <f>'8_Calcul des t'' avec capital'!G25</f>
        <v>0.07111119580643685</v>
      </c>
      <c r="H20" s="45">
        <f>'8_Calcul des t'' avec capital'!H25</f>
        <v>0.07106223175965666</v>
      </c>
      <c r="I20" s="45">
        <f>'8_Calcul des t'' avec capital'!I25</f>
        <v>0.07106223175965666</v>
      </c>
      <c r="J20" s="45">
        <f>'8_Calcul des t'' avec capital'!J25</f>
        <v>0.07106223175965666</v>
      </c>
      <c r="K20" s="45">
        <f>'8_Calcul des t'' avec capital'!K25</f>
        <v>0.060911006186227995</v>
      </c>
      <c r="L20" s="45">
        <f>'8_Calcul des t'' avec capital'!L25</f>
        <v>0.06319239144276073</v>
      </c>
      <c r="M20" s="45">
        <f>'8_Calcul des t'' avec capital'!M25</f>
        <v>0.06334045878033949</v>
      </c>
      <c r="N20" s="45">
        <f>'8_Calcul des t'' avec capital'!N25</f>
        <v>0.06353892252317378</v>
      </c>
      <c r="O20" s="45">
        <f>'8_Calcul des t'' avec capital'!O25</f>
        <v>0.06378818838717479</v>
      </c>
      <c r="P20" s="45">
        <f>'8_Calcul des t'' avec capital'!P25</f>
        <v>0.0640651177970733</v>
      </c>
    </row>
    <row r="21" spans="2:16" ht="13.5" thickBot="1">
      <c r="B21" s="183" t="s">
        <v>466</v>
      </c>
      <c r="C21" s="193"/>
      <c r="D21" s="45">
        <f>D19-D20</f>
        <v>0</v>
      </c>
      <c r="E21" s="45">
        <f aca="true" t="shared" si="9" ref="E21:P21">E19-E20</f>
        <v>0</v>
      </c>
      <c r="F21" s="45">
        <f t="shared" si="9"/>
        <v>0</v>
      </c>
      <c r="G21" s="45">
        <f t="shared" si="9"/>
        <v>0</v>
      </c>
      <c r="H21" s="45">
        <f t="shared" si="9"/>
        <v>0</v>
      </c>
      <c r="I21" s="45">
        <f t="shared" si="9"/>
        <v>0</v>
      </c>
      <c r="J21" s="45">
        <f t="shared" si="9"/>
        <v>0</v>
      </c>
      <c r="K21" s="45">
        <f t="shared" si="9"/>
        <v>0</v>
      </c>
      <c r="L21" s="45">
        <f t="shared" si="9"/>
        <v>0</v>
      </c>
      <c r="M21" s="45">
        <f t="shared" si="9"/>
        <v>0</v>
      </c>
      <c r="N21" s="45">
        <f t="shared" si="9"/>
        <v>0</v>
      </c>
      <c r="O21" s="45">
        <f t="shared" si="9"/>
        <v>0</v>
      </c>
      <c r="P21" s="45">
        <f t="shared" si="9"/>
        <v>0</v>
      </c>
    </row>
    <row r="22" spans="2:16" ht="19.5" thickBot="1">
      <c r="B22" s="183" t="s">
        <v>472</v>
      </c>
      <c r="C22" s="189" t="s">
        <v>126</v>
      </c>
      <c r="D22" s="45">
        <f>'8_Calcul des t'' avec capital'!D18</f>
        <v>0.0071382</v>
      </c>
      <c r="E22" s="45">
        <f>'8_Calcul des t'' avec capital'!E18</f>
        <v>0.007288200000000001</v>
      </c>
      <c r="F22" s="45">
        <f>'8_Calcul des t'' avec capital'!F18</f>
        <v>0.0074988</v>
      </c>
      <c r="G22" s="45">
        <f>'8_Calcul des t'' avec capital'!G18</f>
        <v>0.0074988</v>
      </c>
      <c r="H22" s="45">
        <f>'8_Calcul des t'' avec capital'!H18</f>
        <v>0.0075</v>
      </c>
      <c r="I22" s="45">
        <f>'8_Calcul des t'' avec capital'!I18</f>
        <v>0.0075</v>
      </c>
      <c r="J22" s="45">
        <f>'8_Calcul des t'' avec capital'!J18</f>
        <v>0.0075</v>
      </c>
      <c r="K22" s="45">
        <f>'8_Calcul des t'' avec capital'!K18</f>
        <v>0.0075003</v>
      </c>
      <c r="L22" s="45">
        <f>'8_Calcul des t'' avec capital'!L18</f>
        <v>0.0075003</v>
      </c>
      <c r="M22" s="45">
        <f>'8_Calcul des t'' avec capital'!M18</f>
        <v>0.0074103</v>
      </c>
      <c r="N22" s="45">
        <f>'8_Calcul des t'' avec capital'!N18</f>
        <v>0.0072902999999999996</v>
      </c>
      <c r="O22" s="45">
        <f>'8_Calcul des t'' avec capital'!O18</f>
        <v>0.0071405999999999996</v>
      </c>
      <c r="P22" s="45">
        <f>'8_Calcul des t'' avec capital'!P18</f>
        <v>0.006975599999999999</v>
      </c>
    </row>
    <row r="23" spans="2:16" ht="19.5" thickBot="1">
      <c r="B23" s="183" t="s">
        <v>474</v>
      </c>
      <c r="C23" s="189" t="s">
        <v>473</v>
      </c>
      <c r="D23" s="45">
        <f>'8_Calcul des t'' avec capital'!D12</f>
        <v>0.285528</v>
      </c>
      <c r="E23" s="45">
        <f>'8_Calcul des t'' avec capital'!E12</f>
        <v>0.291528</v>
      </c>
      <c r="F23" s="45">
        <f>'8_Calcul des t'' avec capital'!F12</f>
        <v>0.299952</v>
      </c>
      <c r="G23" s="45">
        <f>'8_Calcul des t'' avec capital'!G12</f>
        <v>0.299952</v>
      </c>
      <c r="H23" s="45">
        <f>'8_Calcul des t'' avec capital'!H12</f>
        <v>0.3</v>
      </c>
      <c r="I23" s="45">
        <f>'8_Calcul des t'' avec capital'!I12</f>
        <v>0.3</v>
      </c>
      <c r="J23" s="45">
        <f>'8_Calcul des t'' avec capital'!J12</f>
        <v>0.3</v>
      </c>
      <c r="K23" s="45">
        <f>'8_Calcul des t'' avec capital'!K12</f>
        <v>0.30001199999999995</v>
      </c>
      <c r="L23" s="45">
        <f>'8_Calcul des t'' avec capital'!L12</f>
        <v>0.25001</v>
      </c>
      <c r="M23" s="45">
        <f>'8_Calcul des t'' avec capital'!M12</f>
        <v>0.24701</v>
      </c>
      <c r="N23" s="45">
        <f>'8_Calcul des t'' avec capital'!N12</f>
        <v>0.24301</v>
      </c>
      <c r="O23" s="45">
        <f>'8_Calcul des t'' avec capital'!O12</f>
        <v>0.23802</v>
      </c>
      <c r="P23" s="45">
        <f>'8_Calcul des t'' avec capital'!P12</f>
        <v>0.23251999999999998</v>
      </c>
    </row>
    <row r="24" spans="2:16" ht="57" thickBot="1">
      <c r="B24" s="183" t="s">
        <v>476</v>
      </c>
      <c r="C24" s="185" t="s">
        <v>480</v>
      </c>
      <c r="D24" s="45">
        <f>D11+D22-((D23*D17/(1+D18)))</f>
        <v>0.21170126112373586</v>
      </c>
      <c r="E24" s="45">
        <f aca="true" t="shared" si="10" ref="E24:P24">E11+E22-((E23*E17/(1+E18)))</f>
        <v>0.21521655008031507</v>
      </c>
      <c r="F24" s="45">
        <f t="shared" si="10"/>
        <v>0.22010109188298313</v>
      </c>
      <c r="G24" s="45">
        <f t="shared" si="10"/>
        <v>0.22010109188298313</v>
      </c>
      <c r="H24" s="45">
        <f t="shared" si="10"/>
        <v>0.2201394849785408</v>
      </c>
      <c r="I24" s="45">
        <f t="shared" si="10"/>
        <v>0.2201394849785408</v>
      </c>
      <c r="J24" s="45">
        <f t="shared" si="10"/>
        <v>0.2201394849785408</v>
      </c>
      <c r="K24" s="45">
        <f t="shared" si="10"/>
        <v>0.22248892103461915</v>
      </c>
      <c r="L24" s="45">
        <f t="shared" si="10"/>
        <v>0.19336770923064245</v>
      </c>
      <c r="M24" s="45">
        <f t="shared" si="10"/>
        <v>0.19147767321566656</v>
      </c>
      <c r="N24" s="45">
        <f t="shared" si="10"/>
        <v>0.18894434191007597</v>
      </c>
      <c r="O24" s="45">
        <f t="shared" si="10"/>
        <v>0.1857625364695923</v>
      </c>
      <c r="P24" s="45">
        <f t="shared" si="10"/>
        <v>0.1822276140020645</v>
      </c>
    </row>
    <row r="25" spans="2:16" ht="18" thickBot="1">
      <c r="B25" s="183" t="s">
        <v>464</v>
      </c>
      <c r="C25" s="189" t="s">
        <v>467</v>
      </c>
      <c r="D25" s="45">
        <f>'8_Calcul des t'' avec capital'!D27</f>
        <v>0.21170126112373586</v>
      </c>
      <c r="E25" s="45">
        <f>'8_Calcul des t'' avec capital'!E27</f>
        <v>0.215216550080315</v>
      </c>
      <c r="F25" s="45">
        <f>'8_Calcul des t'' avec capital'!F27</f>
        <v>0.22010109188298313</v>
      </c>
      <c r="G25" s="45">
        <f>'8_Calcul des t'' avec capital'!G27</f>
        <v>0.22010109188298313</v>
      </c>
      <c r="H25" s="45">
        <f>'8_Calcul des t'' avec capital'!H27</f>
        <v>0.22013948497854077</v>
      </c>
      <c r="I25" s="45">
        <f>'8_Calcul des t'' avec capital'!I27</f>
        <v>0.22013948497854077</v>
      </c>
      <c r="J25" s="45">
        <f>'8_Calcul des t'' avec capital'!J27</f>
        <v>0.22013948497854077</v>
      </c>
      <c r="K25" s="45">
        <f>'8_Calcul des t'' avec capital'!K27</f>
        <v>0.22248892103461915</v>
      </c>
      <c r="L25" s="45">
        <f>'8_Calcul des t'' avec capital'!L27</f>
        <v>0.19336770923064245</v>
      </c>
      <c r="M25" s="45">
        <f>'8_Calcul des t'' avec capital'!M27</f>
        <v>0.19147767321566656</v>
      </c>
      <c r="N25" s="45">
        <f>'8_Calcul des t'' avec capital'!N27</f>
        <v>0.18894434191007597</v>
      </c>
      <c r="O25" s="45">
        <f>'8_Calcul des t'' avec capital'!O27</f>
        <v>0.1857625364695923</v>
      </c>
      <c r="P25" s="45">
        <f>'8_Calcul des t'' avec capital'!P27</f>
        <v>0.18222761400206447</v>
      </c>
    </row>
    <row r="26" spans="2:16" ht="13.5" thickBot="1">
      <c r="B26" s="183" t="s">
        <v>466</v>
      </c>
      <c r="C26" s="193"/>
      <c r="D26" s="45">
        <f>D24-D25</f>
        <v>0</v>
      </c>
      <c r="E26" s="45">
        <f aca="true" t="shared" si="11" ref="E26:P26">E24-E25</f>
        <v>0</v>
      </c>
      <c r="F26" s="45">
        <f t="shared" si="11"/>
        <v>0</v>
      </c>
      <c r="G26" s="45">
        <f t="shared" si="11"/>
        <v>0</v>
      </c>
      <c r="H26" s="45">
        <f t="shared" si="11"/>
        <v>0</v>
      </c>
      <c r="I26" s="45">
        <f t="shared" si="11"/>
        <v>0</v>
      </c>
      <c r="J26" s="45">
        <f t="shared" si="11"/>
        <v>0</v>
      </c>
      <c r="K26" s="45">
        <f t="shared" si="11"/>
        <v>0</v>
      </c>
      <c r="L26" s="45">
        <f t="shared" si="11"/>
        <v>0</v>
      </c>
      <c r="M26" s="45">
        <f t="shared" si="11"/>
        <v>0</v>
      </c>
      <c r="N26" s="45">
        <f t="shared" si="11"/>
        <v>0</v>
      </c>
      <c r="O26" s="45">
        <f t="shared" si="11"/>
        <v>0</v>
      </c>
      <c r="P26" s="45">
        <f t="shared" si="11"/>
        <v>0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I10">
      <selection activeCell="P16" sqref="P16"/>
    </sheetView>
  </sheetViews>
  <sheetFormatPr defaultColWidth="12" defaultRowHeight="11.25"/>
  <cols>
    <col min="2" max="2" width="62.16015625" style="0" customWidth="1"/>
    <col min="3" max="3" width="40" style="0" customWidth="1"/>
    <col min="4" max="4" width="15.5" style="0" customWidth="1"/>
    <col min="5" max="5" width="14" style="0" customWidth="1"/>
    <col min="6" max="6" width="13.66015625" style="0" customWidth="1"/>
    <col min="7" max="7" width="15.16015625" style="0" customWidth="1"/>
    <col min="8" max="8" width="13.83203125" style="0" customWidth="1"/>
    <col min="9" max="9" width="12.83203125" style="0" customWidth="1"/>
    <col min="10" max="10" width="14.16015625" style="0" customWidth="1"/>
    <col min="11" max="11" width="13" style="0" customWidth="1"/>
    <col min="12" max="12" width="15.83203125" style="0" customWidth="1"/>
    <col min="13" max="13" width="13.83203125" style="0" customWidth="1"/>
  </cols>
  <sheetData>
    <row r="1" ht="11.25">
      <c r="A1" s="142" t="s">
        <v>322</v>
      </c>
    </row>
    <row r="3" ht="17.25" customHeight="1" thickBot="1"/>
    <row r="4" spans="2:16" ht="55.5" customHeight="1" thickBot="1">
      <c r="B4" s="6" t="s">
        <v>267</v>
      </c>
      <c r="C4" s="116" t="s">
        <v>172</v>
      </c>
      <c r="D4" s="116">
        <v>1991</v>
      </c>
      <c r="E4" s="116">
        <f>D4+1</f>
        <v>1992</v>
      </c>
      <c r="F4" s="116">
        <f>E4+1</f>
        <v>1993</v>
      </c>
      <c r="G4" s="116">
        <f aca="true" t="shared" si="0" ref="G4:M4">F4+1</f>
        <v>1994</v>
      </c>
      <c r="H4" s="116">
        <f t="shared" si="0"/>
        <v>1995</v>
      </c>
      <c r="I4" s="116">
        <f t="shared" si="0"/>
        <v>1996</v>
      </c>
      <c r="J4" s="116">
        <f t="shared" si="0"/>
        <v>1997</v>
      </c>
      <c r="K4" s="116">
        <f t="shared" si="0"/>
        <v>1998</v>
      </c>
      <c r="L4" s="116">
        <f t="shared" si="0"/>
        <v>1999</v>
      </c>
      <c r="M4" s="116">
        <f t="shared" si="0"/>
        <v>2000</v>
      </c>
      <c r="N4" s="116">
        <f>M4+1</f>
        <v>2001</v>
      </c>
      <c r="O4" s="116">
        <f>N4+1</f>
        <v>2002</v>
      </c>
      <c r="P4" s="116">
        <f>O4+1</f>
        <v>2003</v>
      </c>
    </row>
    <row r="5" spans="2:16" ht="28.5" customHeight="1" thickBot="1">
      <c r="B5" s="50" t="s">
        <v>180</v>
      </c>
      <c r="C5" s="72" t="s">
        <v>29</v>
      </c>
      <c r="D5" s="63">
        <v>1000000</v>
      </c>
      <c r="E5" s="63">
        <v>1000000</v>
      </c>
      <c r="F5" s="63">
        <v>1000000</v>
      </c>
      <c r="G5" s="63">
        <v>1000000</v>
      </c>
      <c r="H5" s="63">
        <v>1000000</v>
      </c>
      <c r="I5" s="63">
        <v>1000000</v>
      </c>
      <c r="J5" s="63">
        <v>1000000</v>
      </c>
      <c r="K5" s="63">
        <v>1000000</v>
      </c>
      <c r="L5" s="63">
        <v>1000000</v>
      </c>
      <c r="M5" s="63">
        <v>1000000</v>
      </c>
      <c r="N5" s="63">
        <v>1000000</v>
      </c>
      <c r="O5" s="63">
        <v>1000000</v>
      </c>
      <c r="P5" s="63">
        <v>1000000</v>
      </c>
    </row>
    <row r="6" spans="2:16" ht="21" customHeight="1" thickBot="1">
      <c r="B6" s="50" t="s">
        <v>181</v>
      </c>
      <c r="C6" s="72" t="s">
        <v>30</v>
      </c>
      <c r="D6" s="63">
        <v>2000000</v>
      </c>
      <c r="E6" s="63">
        <v>2000000</v>
      </c>
      <c r="F6" s="63">
        <v>2000000</v>
      </c>
      <c r="G6" s="63">
        <v>2000000</v>
      </c>
      <c r="H6" s="63">
        <v>2000000</v>
      </c>
      <c r="I6" s="63">
        <v>2000000</v>
      </c>
      <c r="J6" s="63">
        <v>2000000</v>
      </c>
      <c r="K6" s="63">
        <v>2000000</v>
      </c>
      <c r="L6" s="63">
        <v>2000000</v>
      </c>
      <c r="M6" s="63">
        <v>2000000</v>
      </c>
      <c r="N6" s="63">
        <v>2000000</v>
      </c>
      <c r="O6" s="63">
        <v>2000000</v>
      </c>
      <c r="P6" s="63">
        <v>2000000</v>
      </c>
    </row>
    <row r="7" spans="2:16" ht="26.25" customHeight="1" thickBot="1">
      <c r="B7" s="73" t="s">
        <v>60</v>
      </c>
      <c r="C7" s="74" t="s">
        <v>61</v>
      </c>
      <c r="D7" s="64">
        <f>D5/D6</f>
        <v>0.5</v>
      </c>
      <c r="E7" s="64">
        <f aca="true" t="shared" si="1" ref="E7:L7">E5/E6</f>
        <v>0.5</v>
      </c>
      <c r="F7" s="64">
        <f t="shared" si="1"/>
        <v>0.5</v>
      </c>
      <c r="G7" s="64">
        <f t="shared" si="1"/>
        <v>0.5</v>
      </c>
      <c r="H7" s="64">
        <f t="shared" si="1"/>
        <v>0.5</v>
      </c>
      <c r="I7" s="64">
        <f t="shared" si="1"/>
        <v>0.5</v>
      </c>
      <c r="J7" s="64">
        <f t="shared" si="1"/>
        <v>0.5</v>
      </c>
      <c r="K7" s="64">
        <f t="shared" si="1"/>
        <v>0.5</v>
      </c>
      <c r="L7" s="64">
        <f t="shared" si="1"/>
        <v>0.5</v>
      </c>
      <c r="M7" s="64">
        <f>M5/M6</f>
        <v>0.5</v>
      </c>
      <c r="N7" s="64">
        <f>N5/N6</f>
        <v>0.5</v>
      </c>
      <c r="O7" s="64">
        <f>O5/O6</f>
        <v>0.5</v>
      </c>
      <c r="P7" s="64">
        <f>P5/P6</f>
        <v>0.5</v>
      </c>
    </row>
    <row r="8" spans="2:16" ht="24.75" customHeight="1" thickBot="1">
      <c r="B8" s="73" t="s">
        <v>62</v>
      </c>
      <c r="C8" s="74" t="s">
        <v>63</v>
      </c>
      <c r="D8" s="65">
        <f>1/D7</f>
        <v>2</v>
      </c>
      <c r="E8" s="65">
        <f aca="true" t="shared" si="2" ref="E8:L8">1/E7</f>
        <v>2</v>
      </c>
      <c r="F8" s="65">
        <f t="shared" si="2"/>
        <v>2</v>
      </c>
      <c r="G8" s="65">
        <f t="shared" si="2"/>
        <v>2</v>
      </c>
      <c r="H8" s="65">
        <f t="shared" si="2"/>
        <v>2</v>
      </c>
      <c r="I8" s="65">
        <f t="shared" si="2"/>
        <v>2</v>
      </c>
      <c r="J8" s="65">
        <f t="shared" si="2"/>
        <v>2</v>
      </c>
      <c r="K8" s="65">
        <f t="shared" si="2"/>
        <v>2</v>
      </c>
      <c r="L8" s="65">
        <f t="shared" si="2"/>
        <v>2</v>
      </c>
      <c r="M8" s="65">
        <f>1/M7</f>
        <v>2</v>
      </c>
      <c r="N8" s="65">
        <f>1/N7</f>
        <v>2</v>
      </c>
      <c r="O8" s="65">
        <f>1/O7</f>
        <v>2</v>
      </c>
      <c r="P8" s="65">
        <f>1/P7</f>
        <v>2</v>
      </c>
    </row>
    <row r="9" spans="2:16" ht="24" customHeight="1" thickBot="1">
      <c r="B9" s="47" t="s">
        <v>122</v>
      </c>
      <c r="C9" s="75" t="s">
        <v>111</v>
      </c>
      <c r="D9" s="119">
        <f>'14_ Données taux bénéfice'!D4</f>
        <v>0.098</v>
      </c>
      <c r="E9" s="119">
        <f>'14_ Données taux bénéfice'!E4</f>
        <v>0.098</v>
      </c>
      <c r="F9" s="119">
        <f>'14_ Données taux bénéfice'!F4</f>
        <v>0.098</v>
      </c>
      <c r="G9" s="119">
        <f>'14_ Données taux bénéfice'!G4</f>
        <v>0.098</v>
      </c>
      <c r="H9" s="119">
        <f>'14_ Données taux bénéfice'!H4</f>
        <v>0.098</v>
      </c>
      <c r="I9" s="119">
        <f>'14_ Données taux bénéfice'!I4</f>
        <v>0.098</v>
      </c>
      <c r="J9" s="119">
        <f>'14_ Données taux bénéfice'!J4</f>
        <v>0.098</v>
      </c>
      <c r="K9" s="119">
        <f>'14_ Données taux bénéfice'!K4</f>
        <v>0.085</v>
      </c>
      <c r="L9" s="119">
        <f>'14_ Données taux bénéfice'!L4</f>
        <v>0.085</v>
      </c>
      <c r="M9" s="119">
        <f>'14_ Données taux bénéfice'!M4</f>
        <v>0.085</v>
      </c>
      <c r="N9" s="119">
        <f>'14_ Données taux bénéfice'!N4</f>
        <v>0.085</v>
      </c>
      <c r="O9" s="119">
        <f>'14_ Données taux bénéfice'!O4</f>
        <v>0.085</v>
      </c>
      <c r="P9" s="120">
        <f>'14_ Données taux bénéfice'!P4</f>
        <v>0.085</v>
      </c>
    </row>
    <row r="10" spans="2:16" ht="27" customHeight="1" thickBot="1">
      <c r="B10" s="47" t="s">
        <v>80</v>
      </c>
      <c r="C10" s="75" t="s">
        <v>112</v>
      </c>
      <c r="D10" s="119">
        <f>'14_ Données taux bénéfice'!D5</f>
        <v>0.12</v>
      </c>
      <c r="E10" s="119">
        <f>'14_ Données taux bénéfice'!E5</f>
        <v>0.12</v>
      </c>
      <c r="F10" s="119">
        <f>'14_ Données taux bénéfice'!F5</f>
        <v>0.12</v>
      </c>
      <c r="G10" s="119">
        <f>'14_ Données taux bénéfice'!G5</f>
        <v>0.12</v>
      </c>
      <c r="H10" s="119">
        <f>'14_ Données taux bénéfice'!H5</f>
        <v>0.12</v>
      </c>
      <c r="I10" s="119">
        <f>'14_ Données taux bénéfice'!I5</f>
        <v>0.12</v>
      </c>
      <c r="J10" s="119">
        <f>'14_ Données taux bénéfice'!J5</f>
        <v>0.12</v>
      </c>
      <c r="K10" s="119">
        <f>'14_ Données taux bénéfice'!K5</f>
        <v>0.12</v>
      </c>
      <c r="L10" s="119">
        <f>'14_ Données taux bénéfice'!L5</f>
        <v>0.1</v>
      </c>
      <c r="M10" s="119">
        <f>'14_ Données taux bénéfice'!M5</f>
        <v>0.1</v>
      </c>
      <c r="N10" s="119">
        <f>'14_ Données taux bénéfice'!N5</f>
        <v>0.1</v>
      </c>
      <c r="O10" s="119">
        <f>'14_ Données taux bénéfice'!O5</f>
        <v>0.1</v>
      </c>
      <c r="P10" s="120">
        <f>'14_ Données taux bénéfice'!P5</f>
        <v>0.1</v>
      </c>
    </row>
    <row r="11" spans="2:16" ht="27.75" customHeight="1" thickBot="1">
      <c r="B11" s="47" t="s">
        <v>81</v>
      </c>
      <c r="C11" s="75" t="s">
        <v>166</v>
      </c>
      <c r="D11" s="121">
        <f>'13_Multiplicateurs '!D7</f>
        <v>2.3794</v>
      </c>
      <c r="E11" s="121">
        <f>'13_Multiplicateurs '!E7</f>
        <v>2.4294000000000002</v>
      </c>
      <c r="F11" s="121">
        <f>'13_Multiplicateurs '!F7</f>
        <v>2.4996</v>
      </c>
      <c r="G11" s="121">
        <f>'13_Multiplicateurs '!G7</f>
        <v>2.4996</v>
      </c>
      <c r="H11" s="121">
        <f>'13_Multiplicateurs '!H7</f>
        <v>2.5</v>
      </c>
      <c r="I11" s="121">
        <f>'13_Multiplicateurs '!I7</f>
        <v>2.5</v>
      </c>
      <c r="J11" s="121">
        <f>'13_Multiplicateurs '!J7</f>
        <v>2.5</v>
      </c>
      <c r="K11" s="121">
        <f>'13_Multiplicateurs '!K7</f>
        <v>2.5000999999999998</v>
      </c>
      <c r="L11" s="121">
        <f>'13_Multiplicateurs '!L7</f>
        <v>2.5000999999999998</v>
      </c>
      <c r="M11" s="121">
        <f>'13_Multiplicateurs '!M7</f>
        <v>2.4701</v>
      </c>
      <c r="N11" s="121">
        <f>'13_Multiplicateurs '!N7</f>
        <v>2.4301</v>
      </c>
      <c r="O11" s="121">
        <f>'13_Multiplicateurs '!O7</f>
        <v>2.3802</v>
      </c>
      <c r="P11" s="122">
        <f>'13_Multiplicateurs '!P7</f>
        <v>2.3251999999999997</v>
      </c>
    </row>
    <row r="12" spans="2:16" ht="31.5" customHeight="1" thickBot="1">
      <c r="B12" s="47" t="s">
        <v>82</v>
      </c>
      <c r="C12" s="75" t="s">
        <v>113</v>
      </c>
      <c r="D12" s="123">
        <f>D10*D11</f>
        <v>0.285528</v>
      </c>
      <c r="E12" s="123">
        <f aca="true" t="shared" si="3" ref="E12:K12">E10*E11</f>
        <v>0.291528</v>
      </c>
      <c r="F12" s="123">
        <f t="shared" si="3"/>
        <v>0.299952</v>
      </c>
      <c r="G12" s="123">
        <f t="shared" si="3"/>
        <v>0.299952</v>
      </c>
      <c r="H12" s="123">
        <f t="shared" si="3"/>
        <v>0.3</v>
      </c>
      <c r="I12" s="123">
        <f t="shared" si="3"/>
        <v>0.3</v>
      </c>
      <c r="J12" s="123">
        <f t="shared" si="3"/>
        <v>0.3</v>
      </c>
      <c r="K12" s="123">
        <f t="shared" si="3"/>
        <v>0.30001199999999995</v>
      </c>
      <c r="L12" s="123">
        <f>L10*L11</f>
        <v>0.25001</v>
      </c>
      <c r="M12" s="123">
        <f>M10*M11</f>
        <v>0.24701</v>
      </c>
      <c r="N12" s="123">
        <f>N10*N11</f>
        <v>0.24301</v>
      </c>
      <c r="O12" s="123">
        <f>O10*O11</f>
        <v>0.23802</v>
      </c>
      <c r="P12" s="125">
        <f>P10*P11</f>
        <v>0.23251999999999998</v>
      </c>
    </row>
    <row r="13" spans="2:16" ht="24" customHeight="1" thickBot="1">
      <c r="B13" s="61" t="s">
        <v>83</v>
      </c>
      <c r="C13" s="76" t="s">
        <v>114</v>
      </c>
      <c r="D13" s="124">
        <f aca="true" t="shared" si="4" ref="D13:P13">D9+D12</f>
        <v>0.383528</v>
      </c>
      <c r="E13" s="124">
        <f t="shared" si="4"/>
        <v>0.389528</v>
      </c>
      <c r="F13" s="124">
        <f t="shared" si="4"/>
        <v>0.397952</v>
      </c>
      <c r="G13" s="124">
        <f t="shared" si="4"/>
        <v>0.397952</v>
      </c>
      <c r="H13" s="124">
        <f t="shared" si="4"/>
        <v>0.398</v>
      </c>
      <c r="I13" s="124">
        <f t="shared" si="4"/>
        <v>0.398</v>
      </c>
      <c r="J13" s="124">
        <f t="shared" si="4"/>
        <v>0.398</v>
      </c>
      <c r="K13" s="124">
        <f t="shared" si="4"/>
        <v>0.38501199999999997</v>
      </c>
      <c r="L13" s="124">
        <f t="shared" si="4"/>
        <v>0.33501000000000003</v>
      </c>
      <c r="M13" s="124">
        <f t="shared" si="4"/>
        <v>0.33201</v>
      </c>
      <c r="N13" s="124">
        <f t="shared" si="4"/>
        <v>0.32801</v>
      </c>
      <c r="O13" s="124">
        <f t="shared" si="4"/>
        <v>0.32302000000000003</v>
      </c>
      <c r="P13" s="212">
        <f t="shared" si="4"/>
        <v>0.31751999999999997</v>
      </c>
    </row>
    <row r="14" spans="2:16" ht="24" customHeight="1" thickBot="1">
      <c r="B14" s="12" t="s">
        <v>128</v>
      </c>
      <c r="C14" s="67" t="s">
        <v>176</v>
      </c>
      <c r="D14" s="126">
        <f>'15_Données taux capital'!D4</f>
        <v>0.000825</v>
      </c>
      <c r="E14" s="126">
        <f>'15_Données taux capital'!E4</f>
        <v>0.000825</v>
      </c>
      <c r="F14" s="126">
        <f>'15_Données taux capital'!F4</f>
        <v>0.000825</v>
      </c>
      <c r="G14" s="126">
        <f>'15_Données taux capital'!G4</f>
        <v>0.000825</v>
      </c>
      <c r="H14" s="126">
        <f>'15_Données taux capital'!H4</f>
        <v>0.0008</v>
      </c>
      <c r="I14" s="126">
        <f>'15_Données taux capital'!I4</f>
        <v>0.0008</v>
      </c>
      <c r="J14" s="126">
        <f>'15_Données taux capital'!J4</f>
        <v>0.0008</v>
      </c>
      <c r="K14" s="126">
        <f>'15_Données taux capital'!K4</f>
        <v>0</v>
      </c>
      <c r="L14" s="126">
        <f>'15_Données taux capital'!L4</f>
        <v>0</v>
      </c>
      <c r="M14" s="126">
        <f>'15_Données taux capital'!M4</f>
        <v>0</v>
      </c>
      <c r="N14" s="126">
        <f>'15_Données taux capital'!N4</f>
        <v>0</v>
      </c>
      <c r="O14" s="126">
        <f>'15_Données taux capital'!O4</f>
        <v>0</v>
      </c>
      <c r="P14" s="126">
        <f>'15_Données taux capital'!P4</f>
        <v>0</v>
      </c>
    </row>
    <row r="15" spans="2:16" ht="24" customHeight="1" thickBot="1">
      <c r="B15" s="14" t="s">
        <v>7</v>
      </c>
      <c r="C15" s="67" t="s">
        <v>121</v>
      </c>
      <c r="D15" s="13">
        <f aca="true" t="shared" si="5" ref="D15:P15">D14*D8</f>
        <v>0.00165</v>
      </c>
      <c r="E15" s="13">
        <f t="shared" si="5"/>
        <v>0.00165</v>
      </c>
      <c r="F15" s="13">
        <f t="shared" si="5"/>
        <v>0.00165</v>
      </c>
      <c r="G15" s="13">
        <f t="shared" si="5"/>
        <v>0.00165</v>
      </c>
      <c r="H15" s="13">
        <f t="shared" si="5"/>
        <v>0.0016</v>
      </c>
      <c r="I15" s="13">
        <f t="shared" si="5"/>
        <v>0.0016</v>
      </c>
      <c r="J15" s="13">
        <f t="shared" si="5"/>
        <v>0.0016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5"/>
        <v>0</v>
      </c>
    </row>
    <row r="16" spans="2:16" ht="24" customHeight="1" thickBot="1">
      <c r="B16" s="12" t="s">
        <v>129</v>
      </c>
      <c r="C16" s="77" t="s">
        <v>10</v>
      </c>
      <c r="D16" s="127">
        <f>'15_Données taux capital'!D5</f>
        <v>0.0015</v>
      </c>
      <c r="E16" s="127">
        <f>'15_Données taux capital'!E5</f>
        <v>0.0015</v>
      </c>
      <c r="F16" s="127">
        <f>'15_Données taux capital'!F5</f>
        <v>0.0015</v>
      </c>
      <c r="G16" s="127">
        <f>'15_Données taux capital'!G5</f>
        <v>0.0015</v>
      </c>
      <c r="H16" s="127">
        <f>'15_Données taux capital'!H5</f>
        <v>0.0015</v>
      </c>
      <c r="I16" s="127">
        <f>'15_Données taux capital'!I5</f>
        <v>0.0015</v>
      </c>
      <c r="J16" s="127">
        <f>'15_Données taux capital'!J5</f>
        <v>0.0015</v>
      </c>
      <c r="K16" s="127">
        <f>'15_Données taux capital'!K5</f>
        <v>0.0015</v>
      </c>
      <c r="L16" s="127">
        <f>'15_Données taux capital'!L5</f>
        <v>0.0015</v>
      </c>
      <c r="M16" s="127">
        <f>'15_Données taux capital'!M5</f>
        <v>0.0015</v>
      </c>
      <c r="N16" s="127">
        <f>'15_Données taux capital'!N5</f>
        <v>0.0015</v>
      </c>
      <c r="O16" s="127">
        <f>'15_Données taux capital'!O5</f>
        <v>0.0015</v>
      </c>
      <c r="P16" s="128">
        <f>'15_Données taux capital'!P5</f>
        <v>0.0015</v>
      </c>
    </row>
    <row r="17" spans="2:16" ht="24" customHeight="1" thickBot="1">
      <c r="B17" s="12" t="s">
        <v>11</v>
      </c>
      <c r="C17" s="77" t="s">
        <v>177</v>
      </c>
      <c r="D17" s="13">
        <f aca="true" t="shared" si="6" ref="D17:P17">D16*D11</f>
        <v>0.0035691</v>
      </c>
      <c r="E17" s="13">
        <f t="shared" si="6"/>
        <v>0.0036441000000000004</v>
      </c>
      <c r="F17" s="13">
        <f t="shared" si="6"/>
        <v>0.0037494</v>
      </c>
      <c r="G17" s="13">
        <f t="shared" si="6"/>
        <v>0.0037494</v>
      </c>
      <c r="H17" s="13">
        <f t="shared" si="6"/>
        <v>0.00375</v>
      </c>
      <c r="I17" s="13">
        <f t="shared" si="6"/>
        <v>0.00375</v>
      </c>
      <c r="J17" s="13">
        <f t="shared" si="6"/>
        <v>0.00375</v>
      </c>
      <c r="K17" s="13">
        <f t="shared" si="6"/>
        <v>0.00375015</v>
      </c>
      <c r="L17" s="13">
        <f t="shared" si="6"/>
        <v>0.00375015</v>
      </c>
      <c r="M17" s="13">
        <f t="shared" si="6"/>
        <v>0.00370515</v>
      </c>
      <c r="N17" s="13">
        <f t="shared" si="6"/>
        <v>0.0036451499999999998</v>
      </c>
      <c r="O17" s="13">
        <f t="shared" si="6"/>
        <v>0.0035702999999999998</v>
      </c>
      <c r="P17" s="13">
        <f t="shared" si="6"/>
        <v>0.0034877999999999997</v>
      </c>
    </row>
    <row r="18" spans="2:16" ht="24" customHeight="1" thickBot="1">
      <c r="B18" s="12" t="s">
        <v>12</v>
      </c>
      <c r="C18" s="67" t="s">
        <v>20</v>
      </c>
      <c r="D18" s="13">
        <f aca="true" t="shared" si="7" ref="D18:P18">D16*D8*D11</f>
        <v>0.0071382</v>
      </c>
      <c r="E18" s="13">
        <f t="shared" si="7"/>
        <v>0.007288200000000001</v>
      </c>
      <c r="F18" s="13">
        <f t="shared" si="7"/>
        <v>0.0074988</v>
      </c>
      <c r="G18" s="13">
        <f t="shared" si="7"/>
        <v>0.0074988</v>
      </c>
      <c r="H18" s="13">
        <f t="shared" si="7"/>
        <v>0.0075</v>
      </c>
      <c r="I18" s="13">
        <f t="shared" si="7"/>
        <v>0.0075</v>
      </c>
      <c r="J18" s="13">
        <f t="shared" si="7"/>
        <v>0.0075</v>
      </c>
      <c r="K18" s="13">
        <f t="shared" si="7"/>
        <v>0.0075003</v>
      </c>
      <c r="L18" s="13">
        <f t="shared" si="7"/>
        <v>0.0075003</v>
      </c>
      <c r="M18" s="13">
        <f t="shared" si="7"/>
        <v>0.0074103</v>
      </c>
      <c r="N18" s="13">
        <f t="shared" si="7"/>
        <v>0.0072902999999999996</v>
      </c>
      <c r="O18" s="13">
        <f t="shared" si="7"/>
        <v>0.0071405999999999996</v>
      </c>
      <c r="P18" s="13">
        <f t="shared" si="7"/>
        <v>0.006975599999999999</v>
      </c>
    </row>
    <row r="19" spans="2:16" ht="24" customHeight="1" thickBot="1">
      <c r="B19" s="61" t="s">
        <v>132</v>
      </c>
      <c r="C19" s="69" t="s">
        <v>178</v>
      </c>
      <c r="D19" s="68">
        <f aca="true" t="shared" si="8" ref="D19:P19">D17+D14</f>
        <v>0.0043941</v>
      </c>
      <c r="E19" s="68">
        <f t="shared" si="8"/>
        <v>0.0044691</v>
      </c>
      <c r="F19" s="68">
        <f t="shared" si="8"/>
        <v>0.0045744</v>
      </c>
      <c r="G19" s="68">
        <f t="shared" si="8"/>
        <v>0.0045744</v>
      </c>
      <c r="H19" s="68">
        <f t="shared" si="8"/>
        <v>0.00455</v>
      </c>
      <c r="I19" s="68">
        <f t="shared" si="8"/>
        <v>0.00455</v>
      </c>
      <c r="J19" s="68">
        <f t="shared" si="8"/>
        <v>0.00455</v>
      </c>
      <c r="K19" s="68">
        <f t="shared" si="8"/>
        <v>0.00375015</v>
      </c>
      <c r="L19" s="68">
        <f t="shared" si="8"/>
        <v>0.00375015</v>
      </c>
      <c r="M19" s="68">
        <f t="shared" si="8"/>
        <v>0.00370515</v>
      </c>
      <c r="N19" s="68">
        <f t="shared" si="8"/>
        <v>0.0036451499999999998</v>
      </c>
      <c r="O19" s="68">
        <f t="shared" si="8"/>
        <v>0.0035702999999999998</v>
      </c>
      <c r="P19" s="68">
        <f t="shared" si="8"/>
        <v>0.0034877999999999997</v>
      </c>
    </row>
    <row r="20" spans="2:16" ht="24" customHeight="1" thickBot="1">
      <c r="B20" s="61" t="s">
        <v>13</v>
      </c>
      <c r="C20" s="69" t="s">
        <v>123</v>
      </c>
      <c r="D20" s="68">
        <f aca="true" t="shared" si="9" ref="D20:P20">D15+D18</f>
        <v>0.0087882</v>
      </c>
      <c r="E20" s="68">
        <f t="shared" si="9"/>
        <v>0.0089382</v>
      </c>
      <c r="F20" s="68">
        <f t="shared" si="9"/>
        <v>0.0091488</v>
      </c>
      <c r="G20" s="68">
        <f t="shared" si="9"/>
        <v>0.0091488</v>
      </c>
      <c r="H20" s="68">
        <f t="shared" si="9"/>
        <v>0.0091</v>
      </c>
      <c r="I20" s="68">
        <f t="shared" si="9"/>
        <v>0.0091</v>
      </c>
      <c r="J20" s="68">
        <f t="shared" si="9"/>
        <v>0.0091</v>
      </c>
      <c r="K20" s="68">
        <f t="shared" si="9"/>
        <v>0.0075003</v>
      </c>
      <c r="L20" s="68">
        <f t="shared" si="9"/>
        <v>0.0075003</v>
      </c>
      <c r="M20" s="68">
        <f t="shared" si="9"/>
        <v>0.0074103</v>
      </c>
      <c r="N20" s="68">
        <f t="shared" si="9"/>
        <v>0.0072902999999999996</v>
      </c>
      <c r="O20" s="68">
        <f t="shared" si="9"/>
        <v>0.0071405999999999996</v>
      </c>
      <c r="P20" s="68">
        <f t="shared" si="9"/>
        <v>0.006975599999999999</v>
      </c>
    </row>
    <row r="21" spans="2:16" ht="24" customHeight="1" thickBot="1">
      <c r="B21" s="70" t="s">
        <v>22</v>
      </c>
      <c r="C21" s="71" t="s">
        <v>124</v>
      </c>
      <c r="D21" s="68">
        <f aca="true" t="shared" si="10" ref="D21:P21">D13+D20</f>
        <v>0.3923162</v>
      </c>
      <c r="E21" s="68">
        <f t="shared" si="10"/>
        <v>0.3984662</v>
      </c>
      <c r="F21" s="68">
        <f t="shared" si="10"/>
        <v>0.4071008</v>
      </c>
      <c r="G21" s="68">
        <f t="shared" si="10"/>
        <v>0.4071008</v>
      </c>
      <c r="H21" s="68">
        <f t="shared" si="10"/>
        <v>0.4071</v>
      </c>
      <c r="I21" s="68">
        <f t="shared" si="10"/>
        <v>0.4071</v>
      </c>
      <c r="J21" s="68">
        <f t="shared" si="10"/>
        <v>0.4071</v>
      </c>
      <c r="K21" s="68">
        <f t="shared" si="10"/>
        <v>0.3925123</v>
      </c>
      <c r="L21" s="68">
        <f t="shared" si="10"/>
        <v>0.34251030000000005</v>
      </c>
      <c r="M21" s="68">
        <f t="shared" si="10"/>
        <v>0.3394203</v>
      </c>
      <c r="N21" s="68">
        <f t="shared" si="10"/>
        <v>0.3353003</v>
      </c>
      <c r="O21" s="68">
        <f t="shared" si="10"/>
        <v>0.3301606</v>
      </c>
      <c r="P21" s="68">
        <f t="shared" si="10"/>
        <v>0.3244956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I1">
      <selection activeCell="O13" sqref="O13"/>
    </sheetView>
  </sheetViews>
  <sheetFormatPr defaultColWidth="12" defaultRowHeight="11.25"/>
  <cols>
    <col min="1" max="1" width="8.83203125" style="0" customWidth="1"/>
    <col min="2" max="2" width="62.16015625" style="0" customWidth="1"/>
    <col min="3" max="3" width="19.5" style="0" customWidth="1"/>
    <col min="4" max="4" width="12.16015625" style="0" customWidth="1"/>
    <col min="5" max="6" width="9.16015625" style="0" customWidth="1"/>
    <col min="7" max="7" width="9.83203125" style="0" customWidth="1"/>
    <col min="8" max="8" width="9.16015625" style="0" customWidth="1"/>
    <col min="9" max="9" width="11" style="0" customWidth="1"/>
    <col min="10" max="10" width="8.66015625" style="0" customWidth="1"/>
    <col min="11" max="11" width="13" style="0" customWidth="1"/>
    <col min="12" max="12" width="11.16015625" style="0" customWidth="1"/>
    <col min="13" max="13" width="11" style="0" customWidth="1"/>
  </cols>
  <sheetData>
    <row r="1" ht="11.25">
      <c r="A1" s="142" t="s">
        <v>322</v>
      </c>
    </row>
    <row r="2" ht="12" thickBot="1"/>
    <row r="3" spans="2:16" ht="26.25" thickBot="1">
      <c r="B3" s="6" t="s">
        <v>266</v>
      </c>
      <c r="C3" s="46" t="s">
        <v>1</v>
      </c>
      <c r="D3" s="1">
        <v>1991</v>
      </c>
      <c r="E3" s="1">
        <f>D3+1</f>
        <v>1992</v>
      </c>
      <c r="F3" s="1">
        <f aca="true" t="shared" si="0" ref="F3:P3">E3+1</f>
        <v>1993</v>
      </c>
      <c r="G3" s="1">
        <f t="shared" si="0"/>
        <v>1994</v>
      </c>
      <c r="H3" s="1">
        <f t="shared" si="0"/>
        <v>1995</v>
      </c>
      <c r="I3" s="1">
        <f t="shared" si="0"/>
        <v>1996</v>
      </c>
      <c r="J3" s="1">
        <f t="shared" si="0"/>
        <v>1997</v>
      </c>
      <c r="K3" s="1">
        <f t="shared" si="0"/>
        <v>1998</v>
      </c>
      <c r="L3" s="1">
        <f t="shared" si="0"/>
        <v>1999</v>
      </c>
      <c r="M3" s="1">
        <f t="shared" si="0"/>
        <v>2000</v>
      </c>
      <c r="N3" s="1">
        <f t="shared" si="0"/>
        <v>2001</v>
      </c>
      <c r="O3" s="1">
        <f t="shared" si="0"/>
        <v>2002</v>
      </c>
      <c r="P3" s="1">
        <f t="shared" si="0"/>
        <v>2003</v>
      </c>
    </row>
    <row r="4" spans="2:16" ht="27.75" customHeight="1" thickBot="1">
      <c r="B4" s="12" t="s">
        <v>220</v>
      </c>
      <c r="C4" s="77" t="s">
        <v>112</v>
      </c>
      <c r="D4" s="3">
        <f>'14_ Données taux bénéfice'!D5</f>
        <v>0.12</v>
      </c>
      <c r="E4" s="3">
        <f>'14_ Données taux bénéfice'!E5</f>
        <v>0.12</v>
      </c>
      <c r="F4" s="3">
        <f>'14_ Données taux bénéfice'!F5</f>
        <v>0.12</v>
      </c>
      <c r="G4" s="3">
        <f>'14_ Données taux bénéfice'!G5</f>
        <v>0.12</v>
      </c>
      <c r="H4" s="3">
        <f>'14_ Données taux bénéfice'!H5</f>
        <v>0.12</v>
      </c>
      <c r="I4" s="3">
        <f>'14_ Données taux bénéfice'!I5</f>
        <v>0.12</v>
      </c>
      <c r="J4" s="3">
        <f>'14_ Données taux bénéfice'!J5</f>
        <v>0.12</v>
      </c>
      <c r="K4" s="3">
        <f>'14_ Données taux bénéfice'!K5</f>
        <v>0.12</v>
      </c>
      <c r="L4" s="3">
        <f>'14_ Données taux bénéfice'!L5</f>
        <v>0.1</v>
      </c>
      <c r="M4" s="3">
        <f>'14_ Données taux bénéfice'!M5</f>
        <v>0.1</v>
      </c>
      <c r="N4" s="3">
        <f>'14_ Données taux bénéfice'!N5</f>
        <v>0.1</v>
      </c>
      <c r="O4" s="3">
        <f>'14_ Données taux bénéfice'!O5</f>
        <v>0.1</v>
      </c>
      <c r="P4" s="3">
        <f>'14_ Données taux bénéfice'!P5</f>
        <v>0.1</v>
      </c>
    </row>
    <row r="5" spans="2:16" ht="31.5" customHeight="1" thickBot="1">
      <c r="B5" s="12" t="s">
        <v>216</v>
      </c>
      <c r="C5" s="77" t="s">
        <v>166</v>
      </c>
      <c r="D5" s="8">
        <f>'13_Multiplicateurs '!D7</f>
        <v>2.3794</v>
      </c>
      <c r="E5" s="8">
        <f>'13_Multiplicateurs '!E7</f>
        <v>2.4294000000000002</v>
      </c>
      <c r="F5" s="8">
        <f>'13_Multiplicateurs '!F7</f>
        <v>2.4996</v>
      </c>
      <c r="G5" s="8">
        <f>'13_Multiplicateurs '!G7</f>
        <v>2.4996</v>
      </c>
      <c r="H5" s="8">
        <f>'13_Multiplicateurs '!H7</f>
        <v>2.5</v>
      </c>
      <c r="I5" s="8">
        <f>'13_Multiplicateurs '!I7</f>
        <v>2.5</v>
      </c>
      <c r="J5" s="8">
        <f>'13_Multiplicateurs '!J7</f>
        <v>2.5</v>
      </c>
      <c r="K5" s="8">
        <f>'13_Multiplicateurs '!K7</f>
        <v>2.5000999999999998</v>
      </c>
      <c r="L5" s="8">
        <f>'13_Multiplicateurs '!L7</f>
        <v>2.5000999999999998</v>
      </c>
      <c r="M5" s="8">
        <f>'13_Multiplicateurs '!M7</f>
        <v>2.4701</v>
      </c>
      <c r="N5" s="8">
        <f>'13_Multiplicateurs '!N7</f>
        <v>2.4301</v>
      </c>
      <c r="O5" s="8">
        <f>'13_Multiplicateurs '!O7</f>
        <v>2.3802</v>
      </c>
      <c r="P5" s="8">
        <f>'13_Multiplicateurs '!P7</f>
        <v>2.3251999999999997</v>
      </c>
    </row>
    <row r="6" spans="2:16" ht="33.75" customHeight="1" thickBot="1">
      <c r="B6" s="12" t="s">
        <v>219</v>
      </c>
      <c r="C6" s="77" t="s">
        <v>113</v>
      </c>
      <c r="D6" s="3">
        <f>D4*D5</f>
        <v>0.285528</v>
      </c>
      <c r="E6" s="3">
        <f>E4*E5</f>
        <v>0.291528</v>
      </c>
      <c r="F6" s="3">
        <f aca="true" t="shared" si="1" ref="F6:P6">F4*F5</f>
        <v>0.299952</v>
      </c>
      <c r="G6" s="3">
        <f t="shared" si="1"/>
        <v>0.299952</v>
      </c>
      <c r="H6" s="3">
        <f t="shared" si="1"/>
        <v>0.3</v>
      </c>
      <c r="I6" s="3">
        <f t="shared" si="1"/>
        <v>0.3</v>
      </c>
      <c r="J6" s="3">
        <f t="shared" si="1"/>
        <v>0.3</v>
      </c>
      <c r="K6" s="3">
        <f t="shared" si="1"/>
        <v>0.30001199999999995</v>
      </c>
      <c r="L6" s="3">
        <f t="shared" si="1"/>
        <v>0.25001</v>
      </c>
      <c r="M6" s="3">
        <f t="shared" si="1"/>
        <v>0.24701</v>
      </c>
      <c r="N6" s="3">
        <f t="shared" si="1"/>
        <v>0.24301</v>
      </c>
      <c r="O6" s="3">
        <f t="shared" si="1"/>
        <v>0.23802</v>
      </c>
      <c r="P6" s="3">
        <f t="shared" si="1"/>
        <v>0.23251999999999998</v>
      </c>
    </row>
    <row r="7" spans="2:16" ht="28.5" customHeight="1" thickBot="1">
      <c r="B7" s="12" t="s">
        <v>217</v>
      </c>
      <c r="C7" s="77" t="s">
        <v>111</v>
      </c>
      <c r="D7" s="3">
        <f>'14_ Données taux bénéfice'!D4</f>
        <v>0.098</v>
      </c>
      <c r="E7" s="3">
        <f>'14_ Données taux bénéfice'!E4</f>
        <v>0.098</v>
      </c>
      <c r="F7" s="3">
        <f>'14_ Données taux bénéfice'!F4</f>
        <v>0.098</v>
      </c>
      <c r="G7" s="3">
        <f>'14_ Données taux bénéfice'!G4</f>
        <v>0.098</v>
      </c>
      <c r="H7" s="3">
        <f>'14_ Données taux bénéfice'!H4</f>
        <v>0.098</v>
      </c>
      <c r="I7" s="3">
        <f>'14_ Données taux bénéfice'!I4</f>
        <v>0.098</v>
      </c>
      <c r="J7" s="3">
        <f>'14_ Données taux bénéfice'!J4</f>
        <v>0.098</v>
      </c>
      <c r="K7" s="3">
        <f>'14_ Données taux bénéfice'!K4</f>
        <v>0.085</v>
      </c>
      <c r="L7" s="3">
        <f>'14_ Données taux bénéfice'!L4</f>
        <v>0.085</v>
      </c>
      <c r="M7" s="3">
        <f>'14_ Données taux bénéfice'!M4</f>
        <v>0.085</v>
      </c>
      <c r="N7" s="3">
        <f>'14_ Données taux bénéfice'!N4</f>
        <v>0.085</v>
      </c>
      <c r="O7" s="3">
        <f>'14_ Données taux bénéfice'!O4</f>
        <v>0.085</v>
      </c>
      <c r="P7" s="3">
        <f>'14_ Données taux bénéfice'!P4</f>
        <v>0.085</v>
      </c>
    </row>
    <row r="8" spans="2:16" ht="27" customHeight="1" thickBot="1">
      <c r="B8" s="12" t="s">
        <v>218</v>
      </c>
      <c r="C8" s="77" t="s">
        <v>114</v>
      </c>
      <c r="D8" s="3">
        <f>D6+D7</f>
        <v>0.383528</v>
      </c>
      <c r="E8" s="3">
        <f aca="true" t="shared" si="2" ref="E8:P8">E6+E7</f>
        <v>0.389528</v>
      </c>
      <c r="F8" s="3">
        <f t="shared" si="2"/>
        <v>0.397952</v>
      </c>
      <c r="G8" s="3">
        <f t="shared" si="2"/>
        <v>0.397952</v>
      </c>
      <c r="H8" s="3">
        <f t="shared" si="2"/>
        <v>0.398</v>
      </c>
      <c r="I8" s="3">
        <f t="shared" si="2"/>
        <v>0.398</v>
      </c>
      <c r="J8" s="3">
        <f t="shared" si="2"/>
        <v>0.398</v>
      </c>
      <c r="K8" s="3">
        <f t="shared" si="2"/>
        <v>0.38501199999999997</v>
      </c>
      <c r="L8" s="3">
        <f t="shared" si="2"/>
        <v>0.33501000000000003</v>
      </c>
      <c r="M8" s="3">
        <f t="shared" si="2"/>
        <v>0.33201</v>
      </c>
      <c r="N8" s="3">
        <f t="shared" si="2"/>
        <v>0.32801</v>
      </c>
      <c r="O8" s="3">
        <f t="shared" si="2"/>
        <v>0.32302000000000003</v>
      </c>
      <c r="P8" s="3">
        <f t="shared" si="2"/>
        <v>0.31751999999999997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H1">
      <selection activeCell="N19" sqref="N19"/>
    </sheetView>
  </sheetViews>
  <sheetFormatPr defaultColWidth="12" defaultRowHeight="11.25"/>
  <cols>
    <col min="1" max="1" width="6.83203125" style="0" customWidth="1"/>
    <col min="2" max="2" width="67.66015625" style="0" customWidth="1"/>
    <col min="3" max="3" width="25.33203125" style="0" customWidth="1"/>
    <col min="4" max="4" width="12.16015625" style="0" customWidth="1"/>
    <col min="5" max="6" width="9.16015625" style="0" customWidth="1"/>
    <col min="7" max="7" width="9.83203125" style="0" customWidth="1"/>
    <col min="8" max="8" width="9.16015625" style="0" customWidth="1"/>
    <col min="9" max="9" width="11" style="0" customWidth="1"/>
    <col min="10" max="10" width="8.66015625" style="0" customWidth="1"/>
    <col min="11" max="11" width="13" style="0" customWidth="1"/>
    <col min="12" max="12" width="11.16015625" style="0" customWidth="1"/>
    <col min="13" max="13" width="11" style="0" customWidth="1"/>
  </cols>
  <sheetData>
    <row r="1" ht="11.25">
      <c r="A1" s="142" t="s">
        <v>322</v>
      </c>
    </row>
    <row r="2" ht="12" thickBot="1"/>
    <row r="3" spans="2:16" ht="39" thickBot="1">
      <c r="B3" s="117" t="s">
        <v>268</v>
      </c>
      <c r="C3" s="46" t="s">
        <v>1</v>
      </c>
      <c r="D3" s="19">
        <v>1991</v>
      </c>
      <c r="E3" s="19">
        <f>D3+1</f>
        <v>1992</v>
      </c>
      <c r="F3" s="19">
        <f aca="true" t="shared" si="0" ref="F3:P3">E3+1</f>
        <v>1993</v>
      </c>
      <c r="G3" s="19">
        <f t="shared" si="0"/>
        <v>1994</v>
      </c>
      <c r="H3" s="19">
        <f t="shared" si="0"/>
        <v>1995</v>
      </c>
      <c r="I3" s="19">
        <f t="shared" si="0"/>
        <v>1996</v>
      </c>
      <c r="J3" s="19">
        <f t="shared" si="0"/>
        <v>1997</v>
      </c>
      <c r="K3" s="19">
        <f t="shared" si="0"/>
        <v>1998</v>
      </c>
      <c r="L3" s="19">
        <f t="shared" si="0"/>
        <v>1999</v>
      </c>
      <c r="M3" s="19">
        <f t="shared" si="0"/>
        <v>2000</v>
      </c>
      <c r="N3" s="19">
        <f t="shared" si="0"/>
        <v>2001</v>
      </c>
      <c r="O3" s="19">
        <f t="shared" si="0"/>
        <v>2002</v>
      </c>
      <c r="P3" s="19">
        <f t="shared" si="0"/>
        <v>2003</v>
      </c>
    </row>
    <row r="4" spans="2:16" ht="27.75" customHeight="1" thickBot="1">
      <c r="B4" s="12" t="s">
        <v>209</v>
      </c>
      <c r="C4" s="82" t="s">
        <v>10</v>
      </c>
      <c r="D4" s="3">
        <f>'15_Données taux capital'!D5</f>
        <v>0.0015</v>
      </c>
      <c r="E4" s="3">
        <f>'15_Données taux capital'!E5</f>
        <v>0.0015</v>
      </c>
      <c r="F4" s="3">
        <f>'15_Données taux capital'!F5</f>
        <v>0.0015</v>
      </c>
      <c r="G4" s="3">
        <f>'15_Données taux capital'!G5</f>
        <v>0.0015</v>
      </c>
      <c r="H4" s="3">
        <f>'15_Données taux capital'!H5</f>
        <v>0.0015</v>
      </c>
      <c r="I4" s="3">
        <f>'15_Données taux capital'!I5</f>
        <v>0.0015</v>
      </c>
      <c r="J4" s="3">
        <f>'15_Données taux capital'!J5</f>
        <v>0.0015</v>
      </c>
      <c r="K4" s="3">
        <f>'15_Données taux capital'!K5</f>
        <v>0.0015</v>
      </c>
      <c r="L4" s="3">
        <f>'15_Données taux capital'!L5</f>
        <v>0.0015</v>
      </c>
      <c r="M4" s="3">
        <f>'15_Données taux capital'!M5</f>
        <v>0.0015</v>
      </c>
      <c r="N4" s="3">
        <f>'15_Données taux capital'!N5</f>
        <v>0.0015</v>
      </c>
      <c r="O4" s="3">
        <f>'15_Données taux capital'!O5</f>
        <v>0.0015</v>
      </c>
      <c r="P4" s="3">
        <f>'15_Données taux capital'!P5</f>
        <v>0.0015</v>
      </c>
    </row>
    <row r="5" spans="2:16" ht="25.5" customHeight="1" thickBot="1">
      <c r="B5" s="12" t="s">
        <v>205</v>
      </c>
      <c r="C5" s="82" t="s">
        <v>166</v>
      </c>
      <c r="D5" s="8">
        <f>'13_Multiplicateurs '!D7</f>
        <v>2.3794</v>
      </c>
      <c r="E5" s="8">
        <f>'13_Multiplicateurs '!E7</f>
        <v>2.4294000000000002</v>
      </c>
      <c r="F5" s="8">
        <f>'13_Multiplicateurs '!F7</f>
        <v>2.4996</v>
      </c>
      <c r="G5" s="8">
        <f>'13_Multiplicateurs '!G7</f>
        <v>2.4996</v>
      </c>
      <c r="H5" s="8">
        <f>'13_Multiplicateurs '!H7</f>
        <v>2.5</v>
      </c>
      <c r="I5" s="8">
        <f>'13_Multiplicateurs '!I7</f>
        <v>2.5</v>
      </c>
      <c r="J5" s="8">
        <f>'13_Multiplicateurs '!J7</f>
        <v>2.5</v>
      </c>
      <c r="K5" s="8">
        <f>'13_Multiplicateurs '!K7</f>
        <v>2.5000999999999998</v>
      </c>
      <c r="L5" s="8">
        <f>'13_Multiplicateurs '!L7</f>
        <v>2.5000999999999998</v>
      </c>
      <c r="M5" s="8">
        <f>'13_Multiplicateurs '!M7</f>
        <v>2.4701</v>
      </c>
      <c r="N5" s="8">
        <f>'13_Multiplicateurs '!N7</f>
        <v>2.4301</v>
      </c>
      <c r="O5" s="8">
        <f>'13_Multiplicateurs '!O7</f>
        <v>2.3802</v>
      </c>
      <c r="P5" s="8">
        <f>'13_Multiplicateurs '!P7</f>
        <v>2.3251999999999997</v>
      </c>
    </row>
    <row r="6" spans="2:16" ht="33.75" customHeight="1" thickBot="1">
      <c r="B6" s="12" t="s">
        <v>206</v>
      </c>
      <c r="C6" s="118" t="s">
        <v>131</v>
      </c>
      <c r="D6" s="3">
        <f>D4*D5</f>
        <v>0.0035691</v>
      </c>
      <c r="E6" s="3">
        <f aca="true" t="shared" si="1" ref="E6:P6">E4*E5</f>
        <v>0.0036441000000000004</v>
      </c>
      <c r="F6" s="3">
        <f t="shared" si="1"/>
        <v>0.0037494</v>
      </c>
      <c r="G6" s="3">
        <f t="shared" si="1"/>
        <v>0.0037494</v>
      </c>
      <c r="H6" s="3">
        <f t="shared" si="1"/>
        <v>0.00375</v>
      </c>
      <c r="I6" s="3">
        <f t="shared" si="1"/>
        <v>0.00375</v>
      </c>
      <c r="J6" s="3">
        <f t="shared" si="1"/>
        <v>0.00375</v>
      </c>
      <c r="K6" s="3">
        <f t="shared" si="1"/>
        <v>0.00375015</v>
      </c>
      <c r="L6" s="3">
        <f t="shared" si="1"/>
        <v>0.00375015</v>
      </c>
      <c r="M6" s="3">
        <f t="shared" si="1"/>
        <v>0.00370515</v>
      </c>
      <c r="N6" s="3">
        <f t="shared" si="1"/>
        <v>0.0036451499999999998</v>
      </c>
      <c r="O6" s="3">
        <f t="shared" si="1"/>
        <v>0.0035702999999999998</v>
      </c>
      <c r="P6" s="3">
        <f t="shared" si="1"/>
        <v>0.0034877999999999997</v>
      </c>
    </row>
    <row r="7" spans="2:16" ht="34.5" customHeight="1" thickBot="1">
      <c r="B7" s="12" t="s">
        <v>207</v>
      </c>
      <c r="C7" s="87" t="s">
        <v>204</v>
      </c>
      <c r="D7" s="49">
        <f>'15_Données taux capital'!D4</f>
        <v>0.000825</v>
      </c>
      <c r="E7" s="49">
        <f>'15_Données taux capital'!E4</f>
        <v>0.000825</v>
      </c>
      <c r="F7" s="49">
        <f>'15_Données taux capital'!F4</f>
        <v>0.000825</v>
      </c>
      <c r="G7" s="49">
        <f>'15_Données taux capital'!G4</f>
        <v>0.000825</v>
      </c>
      <c r="H7" s="49">
        <f>'15_Données taux capital'!H4</f>
        <v>0.0008</v>
      </c>
      <c r="I7" s="49">
        <f>'15_Données taux capital'!I4</f>
        <v>0.0008</v>
      </c>
      <c r="J7" s="49">
        <f>'15_Données taux capital'!J4</f>
        <v>0.0008</v>
      </c>
      <c r="K7" s="49">
        <f>'15_Données taux capital'!K4</f>
        <v>0</v>
      </c>
      <c r="L7" s="49">
        <f>'15_Données taux capital'!L4</f>
        <v>0</v>
      </c>
      <c r="M7" s="49">
        <f>'15_Données taux capital'!M4</f>
        <v>0</v>
      </c>
      <c r="N7" s="49">
        <f>'15_Données taux capital'!N4</f>
        <v>0</v>
      </c>
      <c r="O7" s="49">
        <f>'15_Données taux capital'!O4</f>
        <v>0</v>
      </c>
      <c r="P7" s="49">
        <f>'15_Données taux capital'!P4</f>
        <v>0</v>
      </c>
    </row>
    <row r="8" spans="2:16" ht="27" customHeight="1" thickBot="1">
      <c r="B8" s="12" t="s">
        <v>208</v>
      </c>
      <c r="C8" s="84" t="s">
        <v>21</v>
      </c>
      <c r="D8" s="3">
        <f>D6+D7</f>
        <v>0.0043941</v>
      </c>
      <c r="E8" s="3">
        <f aca="true" t="shared" si="2" ref="E8:P8">E6+E7</f>
        <v>0.0044691</v>
      </c>
      <c r="F8" s="3">
        <f t="shared" si="2"/>
        <v>0.0045744</v>
      </c>
      <c r="G8" s="3">
        <f t="shared" si="2"/>
        <v>0.0045744</v>
      </c>
      <c r="H8" s="3">
        <f t="shared" si="2"/>
        <v>0.00455</v>
      </c>
      <c r="I8" s="3">
        <f t="shared" si="2"/>
        <v>0.00455</v>
      </c>
      <c r="J8" s="3">
        <f t="shared" si="2"/>
        <v>0.00455</v>
      </c>
      <c r="K8" s="3">
        <f t="shared" si="2"/>
        <v>0.00375015</v>
      </c>
      <c r="L8" s="3">
        <f t="shared" si="2"/>
        <v>0.00375015</v>
      </c>
      <c r="M8" s="3">
        <f t="shared" si="2"/>
        <v>0.00370515</v>
      </c>
      <c r="N8" s="3">
        <f t="shared" si="2"/>
        <v>0.0036451499999999998</v>
      </c>
      <c r="O8" s="3">
        <f t="shared" si="2"/>
        <v>0.0035702999999999998</v>
      </c>
      <c r="P8" s="3">
        <f t="shared" si="2"/>
        <v>0.0034877999999999997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J1">
      <selection activeCell="Q1" sqref="Q1:Q16384"/>
    </sheetView>
  </sheetViews>
  <sheetFormatPr defaultColWidth="12" defaultRowHeight="11.25"/>
  <cols>
    <col min="1" max="1" width="7" style="0" customWidth="1"/>
    <col min="2" max="2" width="26.83203125" style="0" customWidth="1"/>
    <col min="3" max="3" width="10.83203125" style="0" customWidth="1"/>
    <col min="7" max="7" width="9.66015625" style="0" customWidth="1"/>
  </cols>
  <sheetData>
    <row r="1" ht="11.25">
      <c r="A1" s="142" t="s">
        <v>322</v>
      </c>
    </row>
    <row r="2" spans="7:15" ht="12" thickBot="1">
      <c r="G2" s="113"/>
      <c r="M2" s="113"/>
      <c r="N2" s="113"/>
      <c r="O2" s="113"/>
    </row>
    <row r="3" spans="2:16" ht="32.25" customHeight="1" thickBot="1">
      <c r="B3" s="229" t="s">
        <v>269</v>
      </c>
      <c r="C3" s="214"/>
      <c r="D3" s="63">
        <v>1991</v>
      </c>
      <c r="E3" s="63">
        <f aca="true" t="shared" si="0" ref="E3:P3">D3+1</f>
        <v>1992</v>
      </c>
      <c r="F3" s="63">
        <f t="shared" si="0"/>
        <v>1993</v>
      </c>
      <c r="G3" s="63">
        <f t="shared" si="0"/>
        <v>1994</v>
      </c>
      <c r="H3" s="63">
        <f t="shared" si="0"/>
        <v>1995</v>
      </c>
      <c r="I3" s="63">
        <f t="shared" si="0"/>
        <v>1996</v>
      </c>
      <c r="J3" s="63">
        <f t="shared" si="0"/>
        <v>1997</v>
      </c>
      <c r="K3" s="63">
        <f t="shared" si="0"/>
        <v>1998</v>
      </c>
      <c r="L3" s="63">
        <f t="shared" si="0"/>
        <v>1999</v>
      </c>
      <c r="M3" s="63">
        <f t="shared" si="0"/>
        <v>2000</v>
      </c>
      <c r="N3" s="63">
        <f t="shared" si="0"/>
        <v>2001</v>
      </c>
      <c r="O3" s="63">
        <f t="shared" si="0"/>
        <v>2002</v>
      </c>
      <c r="P3" s="63">
        <f t="shared" si="0"/>
        <v>2003</v>
      </c>
    </row>
    <row r="4" spans="2:16" ht="39" customHeight="1" thickBot="1">
      <c r="B4" s="114" t="s">
        <v>196</v>
      </c>
      <c r="C4" s="115" t="s">
        <v>197</v>
      </c>
      <c r="D4" s="133">
        <v>1.08</v>
      </c>
      <c r="E4" s="133">
        <v>1.08</v>
      </c>
      <c r="F4" s="133">
        <v>1.08</v>
      </c>
      <c r="G4" s="133">
        <v>1.08</v>
      </c>
      <c r="H4" s="133">
        <v>1.08</v>
      </c>
      <c r="I4" s="133">
        <v>1.08</v>
      </c>
      <c r="J4" s="133">
        <v>1.08</v>
      </c>
      <c r="K4" s="133">
        <v>1.08</v>
      </c>
      <c r="L4" s="133">
        <v>1.08</v>
      </c>
      <c r="M4" s="133">
        <v>1.05</v>
      </c>
      <c r="N4" s="133">
        <v>1.05</v>
      </c>
      <c r="O4" s="133">
        <v>1.05</v>
      </c>
      <c r="P4" s="133">
        <v>1</v>
      </c>
    </row>
    <row r="5" spans="2:16" ht="41.25" customHeight="1" thickBot="1">
      <c r="B5" s="114" t="s">
        <v>198</v>
      </c>
      <c r="C5" s="115" t="s">
        <v>199</v>
      </c>
      <c r="D5" s="134">
        <v>1.18</v>
      </c>
      <c r="E5" s="134">
        <v>1.23</v>
      </c>
      <c r="F5" s="134">
        <v>1.3</v>
      </c>
      <c r="G5" s="134">
        <v>1.3</v>
      </c>
      <c r="H5" s="134">
        <v>1.3</v>
      </c>
      <c r="I5" s="134">
        <v>1.3</v>
      </c>
      <c r="J5" s="134">
        <v>1.3</v>
      </c>
      <c r="K5" s="134">
        <v>1.3</v>
      </c>
      <c r="L5" s="134">
        <v>1.3</v>
      </c>
      <c r="M5" s="134">
        <v>1.3</v>
      </c>
      <c r="N5" s="134">
        <v>1.26</v>
      </c>
      <c r="O5" s="134">
        <v>1.22</v>
      </c>
      <c r="P5" s="134">
        <v>1.22</v>
      </c>
    </row>
    <row r="6" spans="2:16" ht="36" customHeight="1" thickBot="1">
      <c r="B6" s="114" t="s">
        <v>200</v>
      </c>
      <c r="C6" s="115" t="s">
        <v>201</v>
      </c>
      <c r="D6" s="134">
        <v>0.1194</v>
      </c>
      <c r="E6" s="134">
        <v>0.1194</v>
      </c>
      <c r="F6" s="134">
        <v>0.1196</v>
      </c>
      <c r="G6" s="134">
        <v>0.1196</v>
      </c>
      <c r="H6" s="134">
        <v>0.12</v>
      </c>
      <c r="I6" s="134">
        <v>0.12</v>
      </c>
      <c r="J6" s="134">
        <v>0.12</v>
      </c>
      <c r="K6" s="134">
        <v>0.1201</v>
      </c>
      <c r="L6" s="134">
        <v>0.1201</v>
      </c>
      <c r="M6" s="134">
        <v>0.1201</v>
      </c>
      <c r="N6" s="134">
        <v>0.1201</v>
      </c>
      <c r="O6" s="134">
        <v>0.1102</v>
      </c>
      <c r="P6" s="134">
        <v>0.1052</v>
      </c>
    </row>
    <row r="7" spans="2:16" ht="14.25" thickBot="1">
      <c r="B7" s="114" t="s">
        <v>202</v>
      </c>
      <c r="C7" s="115" t="s">
        <v>203</v>
      </c>
      <c r="D7" s="135">
        <f>D4+D5+D6</f>
        <v>2.3794</v>
      </c>
      <c r="E7" s="135">
        <f aca="true" t="shared" si="1" ref="E7:L7">E4+E5+E6</f>
        <v>2.4294000000000002</v>
      </c>
      <c r="F7" s="135">
        <f t="shared" si="1"/>
        <v>2.4996</v>
      </c>
      <c r="G7" s="135">
        <f t="shared" si="1"/>
        <v>2.4996</v>
      </c>
      <c r="H7" s="135">
        <f t="shared" si="1"/>
        <v>2.5</v>
      </c>
      <c r="I7" s="135">
        <f t="shared" si="1"/>
        <v>2.5</v>
      </c>
      <c r="J7" s="135">
        <f t="shared" si="1"/>
        <v>2.5</v>
      </c>
      <c r="K7" s="135">
        <f t="shared" si="1"/>
        <v>2.5000999999999998</v>
      </c>
      <c r="L7" s="135">
        <f t="shared" si="1"/>
        <v>2.5000999999999998</v>
      </c>
      <c r="M7" s="135">
        <f>M4+M5+M6</f>
        <v>2.4701</v>
      </c>
      <c r="N7" s="135">
        <f>N4+N5+N6</f>
        <v>2.4301</v>
      </c>
      <c r="O7" s="135">
        <f>O4+O5+O6</f>
        <v>2.3802</v>
      </c>
      <c r="P7" s="135">
        <f>P4+P5+P6</f>
        <v>2.3251999999999997</v>
      </c>
    </row>
    <row r="10" ht="11.25">
      <c r="J10" s="7"/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workbookViewId="0" topLeftCell="E1">
      <selection activeCell="Q1" sqref="Q1:Q16384"/>
    </sheetView>
  </sheetViews>
  <sheetFormatPr defaultColWidth="12" defaultRowHeight="11.25"/>
  <cols>
    <col min="1" max="1" width="7.66015625" style="0" customWidth="1"/>
    <col min="2" max="2" width="38" style="0" customWidth="1"/>
    <col min="3" max="3" width="10.5" style="0" customWidth="1"/>
    <col min="4" max="4" width="10.66015625" style="0" customWidth="1"/>
    <col min="5" max="5" width="10" style="0" customWidth="1"/>
    <col min="6" max="6" width="10.16015625" style="0" customWidth="1"/>
    <col min="7" max="7" width="11.83203125" style="0" customWidth="1"/>
    <col min="8" max="8" width="9.16015625" style="0" customWidth="1"/>
    <col min="9" max="9" width="11.5" style="0" customWidth="1"/>
    <col min="10" max="10" width="10.66015625" style="0" customWidth="1"/>
    <col min="11" max="11" width="9.5" style="0" customWidth="1"/>
    <col min="12" max="12" width="9" style="0" customWidth="1"/>
    <col min="13" max="13" width="13" style="0" customWidth="1"/>
    <col min="14" max="14" width="13.5" style="0" customWidth="1"/>
    <col min="15" max="15" width="9.83203125" style="0" customWidth="1"/>
    <col min="16" max="16" width="11.83203125" style="0" customWidth="1"/>
  </cols>
  <sheetData>
    <row r="1" ht="11.25">
      <c r="A1" s="142" t="s">
        <v>322</v>
      </c>
    </row>
    <row r="2" ht="12" thickBot="1"/>
    <row r="3" spans="2:16" ht="18.75" customHeight="1" thickBot="1">
      <c r="B3" s="215" t="s">
        <v>270</v>
      </c>
      <c r="C3" s="216"/>
      <c r="D3" s="100">
        <v>1991</v>
      </c>
      <c r="E3" s="100">
        <f>D3+1</f>
        <v>1992</v>
      </c>
      <c r="F3" s="100">
        <f aca="true" t="shared" si="0" ref="F3:P3">E3+1</f>
        <v>1993</v>
      </c>
      <c r="G3" s="100">
        <f t="shared" si="0"/>
        <v>1994</v>
      </c>
      <c r="H3" s="100">
        <f t="shared" si="0"/>
        <v>1995</v>
      </c>
      <c r="I3" s="100">
        <f t="shared" si="0"/>
        <v>1996</v>
      </c>
      <c r="J3" s="100">
        <f t="shared" si="0"/>
        <v>1997</v>
      </c>
      <c r="K3" s="100">
        <f t="shared" si="0"/>
        <v>1998</v>
      </c>
      <c r="L3" s="100">
        <f t="shared" si="0"/>
        <v>1999</v>
      </c>
      <c r="M3" s="100">
        <f t="shared" si="0"/>
        <v>2000</v>
      </c>
      <c r="N3" s="100">
        <f t="shared" si="0"/>
        <v>2001</v>
      </c>
      <c r="O3" s="100">
        <f t="shared" si="0"/>
        <v>2002</v>
      </c>
      <c r="P3" s="46">
        <f t="shared" si="0"/>
        <v>2003</v>
      </c>
    </row>
    <row r="4" spans="2:16" ht="30" customHeight="1" thickBot="1">
      <c r="B4" s="17" t="s">
        <v>211</v>
      </c>
      <c r="C4" s="87" t="s">
        <v>28</v>
      </c>
      <c r="D4" s="132">
        <v>0.098</v>
      </c>
      <c r="E4" s="132">
        <v>0.098</v>
      </c>
      <c r="F4" s="132">
        <v>0.098</v>
      </c>
      <c r="G4" s="132">
        <v>0.098</v>
      </c>
      <c r="H4" s="132">
        <v>0.098</v>
      </c>
      <c r="I4" s="132">
        <v>0.098</v>
      </c>
      <c r="J4" s="132">
        <v>0.098</v>
      </c>
      <c r="K4" s="132">
        <v>0.085</v>
      </c>
      <c r="L4" s="132">
        <v>0.085</v>
      </c>
      <c r="M4" s="132">
        <v>0.085</v>
      </c>
      <c r="N4" s="132">
        <v>0.085</v>
      </c>
      <c r="O4" s="132">
        <v>0.085</v>
      </c>
      <c r="P4" s="132">
        <v>0.085</v>
      </c>
    </row>
    <row r="5" spans="2:16" ht="23.25" customHeight="1" thickBot="1">
      <c r="B5" s="91" t="s">
        <v>338</v>
      </c>
      <c r="C5" s="82" t="s">
        <v>112</v>
      </c>
      <c r="D5" s="132">
        <v>0.12</v>
      </c>
      <c r="E5" s="132">
        <v>0.12</v>
      </c>
      <c r="F5" s="132">
        <v>0.12</v>
      </c>
      <c r="G5" s="132">
        <v>0.12</v>
      </c>
      <c r="H5" s="132">
        <v>0.12</v>
      </c>
      <c r="I5" s="132">
        <v>0.12</v>
      </c>
      <c r="J5" s="132">
        <v>0.12</v>
      </c>
      <c r="K5" s="132">
        <v>0.12</v>
      </c>
      <c r="L5" s="132">
        <v>0.1</v>
      </c>
      <c r="M5" s="132">
        <v>0.1</v>
      </c>
      <c r="N5" s="132">
        <v>0.1</v>
      </c>
      <c r="O5" s="132">
        <v>0.1</v>
      </c>
      <c r="P5" s="132">
        <v>0.1</v>
      </c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workbookViewId="0" topLeftCell="I1">
      <selection activeCell="Q1" sqref="Q1:Q16384"/>
    </sheetView>
  </sheetViews>
  <sheetFormatPr defaultColWidth="12" defaultRowHeight="11.25"/>
  <cols>
    <col min="1" max="1" width="10.5" style="0" customWidth="1"/>
    <col min="2" max="2" width="39" style="0" customWidth="1"/>
    <col min="3" max="3" width="27.83203125" style="0" customWidth="1"/>
    <col min="4" max="4" width="16" style="0" customWidth="1"/>
    <col min="5" max="5" width="11.33203125" style="0" customWidth="1"/>
    <col min="6" max="6" width="13" style="0" customWidth="1"/>
    <col min="7" max="7" width="13.66015625" style="0" customWidth="1"/>
    <col min="8" max="8" width="14.33203125" style="0" customWidth="1"/>
    <col min="9" max="9" width="10.66015625" style="0" customWidth="1"/>
    <col min="10" max="10" width="11.16015625" style="0" customWidth="1"/>
    <col min="11" max="11" width="10.5" style="0" customWidth="1"/>
    <col min="12" max="12" width="10.83203125" style="0" customWidth="1"/>
    <col min="13" max="13" width="11.5" style="0" customWidth="1"/>
    <col min="14" max="14" width="10.5" style="0" customWidth="1"/>
    <col min="15" max="15" width="10" style="0" customWidth="1"/>
    <col min="16" max="16" width="11.16015625" style="0" customWidth="1"/>
    <col min="17" max="16384" width="27" style="0" customWidth="1"/>
  </cols>
  <sheetData>
    <row r="1" ht="11.25">
      <c r="A1" s="142" t="s">
        <v>322</v>
      </c>
    </row>
    <row r="2" ht="12" thickBot="1"/>
    <row r="3" spans="2:16" ht="13.5" thickBot="1">
      <c r="B3" s="215" t="s">
        <v>271</v>
      </c>
      <c r="C3" s="216"/>
      <c r="D3" s="100">
        <v>1991</v>
      </c>
      <c r="E3" s="100">
        <f>D3+1</f>
        <v>1992</v>
      </c>
      <c r="F3" s="100">
        <f aca="true" t="shared" si="0" ref="F3:P3">E3+1</f>
        <v>1993</v>
      </c>
      <c r="G3" s="100">
        <f t="shared" si="0"/>
        <v>1994</v>
      </c>
      <c r="H3" s="100">
        <f t="shared" si="0"/>
        <v>1995</v>
      </c>
      <c r="I3" s="100">
        <f t="shared" si="0"/>
        <v>1996</v>
      </c>
      <c r="J3" s="100">
        <f t="shared" si="0"/>
        <v>1997</v>
      </c>
      <c r="K3" s="100">
        <f t="shared" si="0"/>
        <v>1998</v>
      </c>
      <c r="L3" s="100">
        <f t="shared" si="0"/>
        <v>1999</v>
      </c>
      <c r="M3" s="100">
        <f t="shared" si="0"/>
        <v>2000</v>
      </c>
      <c r="N3" s="100">
        <f t="shared" si="0"/>
        <v>2001</v>
      </c>
      <c r="O3" s="100">
        <f t="shared" si="0"/>
        <v>2002</v>
      </c>
      <c r="P3" s="46">
        <f t="shared" si="0"/>
        <v>2003</v>
      </c>
    </row>
    <row r="4" spans="2:16" ht="20.25" customHeight="1" thickBot="1">
      <c r="B4" s="149" t="s">
        <v>213</v>
      </c>
      <c r="C4" s="67" t="s">
        <v>127</v>
      </c>
      <c r="D4" s="136">
        <f>0.825/1000</f>
        <v>0.000825</v>
      </c>
      <c r="E4" s="136">
        <f>0.825/1000</f>
        <v>0.000825</v>
      </c>
      <c r="F4" s="136">
        <f>0.825/1000</f>
        <v>0.000825</v>
      </c>
      <c r="G4" s="136">
        <f>0.825/1000</f>
        <v>0.000825</v>
      </c>
      <c r="H4" s="136">
        <f>0.8/1000</f>
        <v>0.0008</v>
      </c>
      <c r="I4" s="136">
        <f>0.8/1000</f>
        <v>0.0008</v>
      </c>
      <c r="J4" s="136">
        <f>0.8/1000</f>
        <v>0.0008</v>
      </c>
      <c r="K4" s="137">
        <v>0</v>
      </c>
      <c r="L4" s="137">
        <v>0</v>
      </c>
      <c r="M4" s="137">
        <v>0</v>
      </c>
      <c r="N4" s="137">
        <v>0</v>
      </c>
      <c r="O4" s="137">
        <v>0</v>
      </c>
      <c r="P4" s="137">
        <v>0</v>
      </c>
    </row>
    <row r="5" spans="2:16" ht="23.25" customHeight="1" thickBot="1">
      <c r="B5" s="91" t="s">
        <v>214</v>
      </c>
      <c r="C5" s="77" t="s">
        <v>215</v>
      </c>
      <c r="D5" s="132">
        <v>0.0015</v>
      </c>
      <c r="E5" s="132">
        <v>0.0015</v>
      </c>
      <c r="F5" s="132">
        <v>0.0015</v>
      </c>
      <c r="G5" s="132">
        <v>0.0015</v>
      </c>
      <c r="H5" s="132">
        <v>0.0015</v>
      </c>
      <c r="I5" s="132">
        <v>0.0015</v>
      </c>
      <c r="J5" s="132">
        <v>0.0015</v>
      </c>
      <c r="K5" s="132">
        <v>0.0015</v>
      </c>
      <c r="L5" s="132">
        <v>0.0015</v>
      </c>
      <c r="M5" s="132">
        <v>0.0015</v>
      </c>
      <c r="N5" s="132">
        <v>0.0015</v>
      </c>
      <c r="O5" s="132">
        <v>0.0015</v>
      </c>
      <c r="P5" s="132">
        <v>0.0015</v>
      </c>
    </row>
    <row r="12" ht="11.25">
      <c r="B12" s="166"/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fitToHeight="1" fitToWidth="1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X1">
      <selection activeCell="AD1" sqref="AD1:AE16384"/>
    </sheetView>
  </sheetViews>
  <sheetFormatPr defaultColWidth="12" defaultRowHeight="11.25"/>
  <cols>
    <col min="1" max="1" width="9.33203125" style="0" customWidth="1"/>
    <col min="2" max="2" width="60.33203125" style="0" customWidth="1"/>
    <col min="3" max="3" width="34.83203125" style="0" customWidth="1"/>
    <col min="4" max="16384" width="13.5" style="0" customWidth="1"/>
  </cols>
  <sheetData>
    <row r="1" ht="11.25">
      <c r="A1" s="142" t="s">
        <v>322</v>
      </c>
    </row>
    <row r="2" ht="12" thickBot="1"/>
    <row r="3" spans="2:29" ht="36.75" customHeight="1" thickBot="1">
      <c r="B3" s="213" t="s">
        <v>415</v>
      </c>
      <c r="C3" s="230"/>
      <c r="D3" s="250">
        <v>1991</v>
      </c>
      <c r="E3" s="251"/>
      <c r="F3" s="250">
        <f>D3+1</f>
        <v>1992</v>
      </c>
      <c r="G3" s="251"/>
      <c r="H3" s="250">
        <f>F3+1</f>
        <v>1993</v>
      </c>
      <c r="I3" s="251"/>
      <c r="J3" s="250">
        <f>H3+1</f>
        <v>1994</v>
      </c>
      <c r="K3" s="251"/>
      <c r="L3" s="250">
        <f>J3+1</f>
        <v>1995</v>
      </c>
      <c r="M3" s="251"/>
      <c r="N3" s="250">
        <f>L3+1</f>
        <v>1996</v>
      </c>
      <c r="O3" s="251"/>
      <c r="P3" s="250">
        <f>N3+1</f>
        <v>1997</v>
      </c>
      <c r="Q3" s="251"/>
      <c r="R3" s="250">
        <f>P3+1</f>
        <v>1998</v>
      </c>
      <c r="S3" s="251"/>
      <c r="T3" s="250">
        <f>R3+1</f>
        <v>1999</v>
      </c>
      <c r="U3" s="251"/>
      <c r="V3" s="250">
        <f>T3+1</f>
        <v>2000</v>
      </c>
      <c r="W3" s="251"/>
      <c r="X3" s="250">
        <f>V3+1</f>
        <v>2001</v>
      </c>
      <c r="Y3" s="251"/>
      <c r="Z3" s="250">
        <f>X3+1</f>
        <v>2002</v>
      </c>
      <c r="AA3" s="251"/>
      <c r="AB3" s="250">
        <f>Z3+1</f>
        <v>2003</v>
      </c>
      <c r="AC3" s="251"/>
    </row>
    <row r="4" spans="2:29" ht="27" customHeight="1" thickBot="1">
      <c r="B4" s="6" t="s">
        <v>395</v>
      </c>
      <c r="C4" s="175" t="s">
        <v>30</v>
      </c>
      <c r="D4" s="194">
        <v>2000000</v>
      </c>
      <c r="E4" s="194">
        <v>1000000</v>
      </c>
      <c r="F4" s="194">
        <v>2000000</v>
      </c>
      <c r="G4" s="194">
        <v>1000000</v>
      </c>
      <c r="H4" s="194">
        <v>2000000</v>
      </c>
      <c r="I4" s="194">
        <v>1000000</v>
      </c>
      <c r="J4" s="194">
        <v>2000000</v>
      </c>
      <c r="K4" s="194">
        <v>1000000</v>
      </c>
      <c r="L4" s="194">
        <v>2000000</v>
      </c>
      <c r="M4" s="194">
        <v>1000000</v>
      </c>
      <c r="N4" s="194">
        <v>2000000</v>
      </c>
      <c r="O4" s="194">
        <v>1000000</v>
      </c>
      <c r="P4" s="194">
        <v>2000000</v>
      </c>
      <c r="Q4" s="194">
        <v>1000000</v>
      </c>
      <c r="R4" s="194">
        <v>2000000</v>
      </c>
      <c r="S4" s="194">
        <v>1000000</v>
      </c>
      <c r="T4" s="194">
        <v>2000000</v>
      </c>
      <c r="U4" s="194">
        <v>1000000</v>
      </c>
      <c r="V4" s="194">
        <v>2000000</v>
      </c>
      <c r="W4" s="194">
        <v>1000000</v>
      </c>
      <c r="X4" s="194">
        <v>2000000</v>
      </c>
      <c r="Y4" s="194">
        <v>1000000</v>
      </c>
      <c r="Z4" s="194">
        <v>2000000</v>
      </c>
      <c r="AA4" s="194">
        <v>1000000</v>
      </c>
      <c r="AB4" s="194">
        <v>2000000</v>
      </c>
      <c r="AC4" s="194">
        <v>1000000</v>
      </c>
    </row>
    <row r="5" spans="2:29" ht="23.25" customHeight="1" thickBot="1">
      <c r="B5" s="117" t="s">
        <v>405</v>
      </c>
      <c r="C5" s="176" t="s">
        <v>403</v>
      </c>
      <c r="D5" s="195">
        <f>'15_Données taux capital'!$D$5</f>
        <v>0.0015</v>
      </c>
      <c r="E5" s="195">
        <f>'15_Données taux capital'!$D$5</f>
        <v>0.0015</v>
      </c>
      <c r="F5" s="195">
        <f>'15_Données taux capital'!$E$5</f>
        <v>0.0015</v>
      </c>
      <c r="G5" s="195">
        <f>'15_Données taux capital'!$E$5</f>
        <v>0.0015</v>
      </c>
      <c r="H5" s="195">
        <f>'15_Données taux capital'!$F$5</f>
        <v>0.0015</v>
      </c>
      <c r="I5" s="195">
        <f>'15_Données taux capital'!$F$5</f>
        <v>0.0015</v>
      </c>
      <c r="J5" s="195">
        <f>'15_Données taux capital'!$G$5</f>
        <v>0.0015</v>
      </c>
      <c r="K5" s="195">
        <f>'15_Données taux capital'!$G$5</f>
        <v>0.0015</v>
      </c>
      <c r="L5" s="195">
        <f>'15_Données taux capital'!$H$5</f>
        <v>0.0015</v>
      </c>
      <c r="M5" s="195">
        <f>'15_Données taux capital'!$H$5</f>
        <v>0.0015</v>
      </c>
      <c r="N5" s="195">
        <f>'15_Données taux capital'!$I$5</f>
        <v>0.0015</v>
      </c>
      <c r="O5" s="195">
        <f>'15_Données taux capital'!$I$5</f>
        <v>0.0015</v>
      </c>
      <c r="P5" s="195">
        <f>'15_Données taux capital'!$J$5</f>
        <v>0.0015</v>
      </c>
      <c r="Q5" s="195">
        <f>'15_Données taux capital'!$J$5</f>
        <v>0.0015</v>
      </c>
      <c r="R5" s="195">
        <f>'15_Données taux capital'!$K$5</f>
        <v>0.0015</v>
      </c>
      <c r="S5" s="195">
        <f>'15_Données taux capital'!$K$5</f>
        <v>0.0015</v>
      </c>
      <c r="T5" s="195">
        <f>'15_Données taux capital'!$L$5</f>
        <v>0.0015</v>
      </c>
      <c r="U5" s="195">
        <f>'15_Données taux capital'!$L$5</f>
        <v>0.0015</v>
      </c>
      <c r="V5" s="195">
        <f>'15_Données taux capital'!$M$5</f>
        <v>0.0015</v>
      </c>
      <c r="W5" s="195">
        <f>'15_Données taux capital'!$M$5</f>
        <v>0.0015</v>
      </c>
      <c r="X5" s="195">
        <f>'15_Données taux capital'!$N$5</f>
        <v>0.0015</v>
      </c>
      <c r="Y5" s="195">
        <f>'15_Données taux capital'!$N$5</f>
        <v>0.0015</v>
      </c>
      <c r="Z5" s="195">
        <f>'15_Données taux capital'!$O$5</f>
        <v>0.0015</v>
      </c>
      <c r="AA5" s="195">
        <f>'15_Données taux capital'!$O$5</f>
        <v>0.0015</v>
      </c>
      <c r="AB5" s="195">
        <f>'15_Données taux capital'!$P$5</f>
        <v>0.0015</v>
      </c>
      <c r="AC5" s="195">
        <f>'15_Données taux capital'!$P$5</f>
        <v>0.0015</v>
      </c>
    </row>
    <row r="6" spans="2:29" ht="25.5" customHeight="1" thickBot="1">
      <c r="B6" s="117" t="s">
        <v>406</v>
      </c>
      <c r="C6" s="176" t="s">
        <v>404</v>
      </c>
      <c r="D6" s="196">
        <f aca="true" t="shared" si="0" ref="D6:AA6">D4*D5</f>
        <v>3000</v>
      </c>
      <c r="E6" s="196">
        <f t="shared" si="0"/>
        <v>1500</v>
      </c>
      <c r="F6" s="196">
        <f t="shared" si="0"/>
        <v>3000</v>
      </c>
      <c r="G6" s="196">
        <f t="shared" si="0"/>
        <v>1500</v>
      </c>
      <c r="H6" s="196">
        <f t="shared" si="0"/>
        <v>3000</v>
      </c>
      <c r="I6" s="196">
        <f t="shared" si="0"/>
        <v>1500</v>
      </c>
      <c r="J6" s="196">
        <f t="shared" si="0"/>
        <v>3000</v>
      </c>
      <c r="K6" s="196">
        <f t="shared" si="0"/>
        <v>1500</v>
      </c>
      <c r="L6" s="196">
        <f t="shared" si="0"/>
        <v>3000</v>
      </c>
      <c r="M6" s="196">
        <f t="shared" si="0"/>
        <v>1500</v>
      </c>
      <c r="N6" s="196">
        <f t="shared" si="0"/>
        <v>3000</v>
      </c>
      <c r="O6" s="196">
        <f t="shared" si="0"/>
        <v>1500</v>
      </c>
      <c r="P6" s="196">
        <f t="shared" si="0"/>
        <v>3000</v>
      </c>
      <c r="Q6" s="196">
        <f t="shared" si="0"/>
        <v>1500</v>
      </c>
      <c r="R6" s="196">
        <f t="shared" si="0"/>
        <v>3000</v>
      </c>
      <c r="S6" s="196">
        <f t="shared" si="0"/>
        <v>1500</v>
      </c>
      <c r="T6" s="196">
        <f t="shared" si="0"/>
        <v>3000</v>
      </c>
      <c r="U6" s="196">
        <f t="shared" si="0"/>
        <v>1500</v>
      </c>
      <c r="V6" s="196">
        <f t="shared" si="0"/>
        <v>3000</v>
      </c>
      <c r="W6" s="196">
        <f t="shared" si="0"/>
        <v>1500</v>
      </c>
      <c r="X6" s="196">
        <f t="shared" si="0"/>
        <v>3000</v>
      </c>
      <c r="Y6" s="196">
        <f t="shared" si="0"/>
        <v>1500</v>
      </c>
      <c r="Z6" s="196">
        <f t="shared" si="0"/>
        <v>3000</v>
      </c>
      <c r="AA6" s="196">
        <f t="shared" si="0"/>
        <v>1500</v>
      </c>
      <c r="AB6" s="196">
        <f>AB4*AB5</f>
        <v>3000</v>
      </c>
      <c r="AC6" s="196">
        <f>AC4*AC5</f>
        <v>1500</v>
      </c>
    </row>
    <row r="7" spans="2:29" ht="27" customHeight="1" thickBot="1">
      <c r="B7" s="6" t="s">
        <v>407</v>
      </c>
      <c r="C7" s="177" t="s">
        <v>396</v>
      </c>
      <c r="D7" s="197">
        <f aca="true" t="shared" si="1" ref="D7:AA7">D6/D4</f>
        <v>0.0015</v>
      </c>
      <c r="E7" s="197">
        <f t="shared" si="1"/>
        <v>0.0015</v>
      </c>
      <c r="F7" s="197">
        <f t="shared" si="1"/>
        <v>0.0015</v>
      </c>
      <c r="G7" s="197">
        <f t="shared" si="1"/>
        <v>0.0015</v>
      </c>
      <c r="H7" s="197">
        <f t="shared" si="1"/>
        <v>0.0015</v>
      </c>
      <c r="I7" s="197">
        <f t="shared" si="1"/>
        <v>0.0015</v>
      </c>
      <c r="J7" s="197">
        <f t="shared" si="1"/>
        <v>0.0015</v>
      </c>
      <c r="K7" s="197">
        <f t="shared" si="1"/>
        <v>0.0015</v>
      </c>
      <c r="L7" s="197">
        <f t="shared" si="1"/>
        <v>0.0015</v>
      </c>
      <c r="M7" s="197">
        <f t="shared" si="1"/>
        <v>0.0015</v>
      </c>
      <c r="N7" s="197">
        <f t="shared" si="1"/>
        <v>0.0015</v>
      </c>
      <c r="O7" s="197">
        <f t="shared" si="1"/>
        <v>0.0015</v>
      </c>
      <c r="P7" s="197">
        <f t="shared" si="1"/>
        <v>0.0015</v>
      </c>
      <c r="Q7" s="197">
        <f t="shared" si="1"/>
        <v>0.0015</v>
      </c>
      <c r="R7" s="197">
        <f t="shared" si="1"/>
        <v>0.0015</v>
      </c>
      <c r="S7" s="197">
        <f t="shared" si="1"/>
        <v>0.0015</v>
      </c>
      <c r="T7" s="197">
        <f t="shared" si="1"/>
        <v>0.0015</v>
      </c>
      <c r="U7" s="197">
        <f t="shared" si="1"/>
        <v>0.0015</v>
      </c>
      <c r="V7" s="197">
        <f t="shared" si="1"/>
        <v>0.0015</v>
      </c>
      <c r="W7" s="197">
        <f t="shared" si="1"/>
        <v>0.0015</v>
      </c>
      <c r="X7" s="197">
        <f t="shared" si="1"/>
        <v>0.0015</v>
      </c>
      <c r="Y7" s="197">
        <f t="shared" si="1"/>
        <v>0.0015</v>
      </c>
      <c r="Z7" s="197">
        <f t="shared" si="1"/>
        <v>0.0015</v>
      </c>
      <c r="AA7" s="197">
        <f t="shared" si="1"/>
        <v>0.0015</v>
      </c>
      <c r="AB7" s="197">
        <f>AB6/AB4</f>
        <v>0.0015</v>
      </c>
      <c r="AC7" s="197">
        <f>AC6/AC4</f>
        <v>0.0015</v>
      </c>
    </row>
    <row r="8" spans="2:29" ht="21.75" customHeight="1" thickBot="1">
      <c r="B8" s="6" t="s">
        <v>408</v>
      </c>
      <c r="C8" s="177" t="s">
        <v>166</v>
      </c>
      <c r="D8" s="198">
        <f>'13_Multiplicateurs '!$D$7</f>
        <v>2.3794</v>
      </c>
      <c r="E8" s="198">
        <f>'13_Multiplicateurs '!$D$7</f>
        <v>2.3794</v>
      </c>
      <c r="F8" s="198">
        <f>'13_Multiplicateurs '!$E$7</f>
        <v>2.4294000000000002</v>
      </c>
      <c r="G8" s="198">
        <f>'13_Multiplicateurs '!$E$7</f>
        <v>2.4294000000000002</v>
      </c>
      <c r="H8" s="198">
        <f>'13_Multiplicateurs '!$F$7</f>
        <v>2.4996</v>
      </c>
      <c r="I8" s="198">
        <f>'13_Multiplicateurs '!$F$7</f>
        <v>2.4996</v>
      </c>
      <c r="J8" s="198">
        <f>'13_Multiplicateurs '!$G$7</f>
        <v>2.4996</v>
      </c>
      <c r="K8" s="198">
        <f>'13_Multiplicateurs '!$G$7</f>
        <v>2.4996</v>
      </c>
      <c r="L8" s="198">
        <f>'13_Multiplicateurs '!$H$7</f>
        <v>2.5</v>
      </c>
      <c r="M8" s="198">
        <f>'13_Multiplicateurs '!$H$7</f>
        <v>2.5</v>
      </c>
      <c r="N8" s="198">
        <f>'13_Multiplicateurs '!$I$7</f>
        <v>2.5</v>
      </c>
      <c r="O8" s="198">
        <f>'13_Multiplicateurs '!$I$7</f>
        <v>2.5</v>
      </c>
      <c r="P8" s="198">
        <f>'13_Multiplicateurs '!$J$7</f>
        <v>2.5</v>
      </c>
      <c r="Q8" s="198">
        <f>'13_Multiplicateurs '!$J$7</f>
        <v>2.5</v>
      </c>
      <c r="R8" s="198">
        <f>'13_Multiplicateurs '!$K$7</f>
        <v>2.5000999999999998</v>
      </c>
      <c r="S8" s="198">
        <f>'13_Multiplicateurs '!$K$7</f>
        <v>2.5000999999999998</v>
      </c>
      <c r="T8" s="198">
        <f>'13_Multiplicateurs '!$L$7</f>
        <v>2.5000999999999998</v>
      </c>
      <c r="U8" s="198">
        <f>'13_Multiplicateurs '!$L$7</f>
        <v>2.5000999999999998</v>
      </c>
      <c r="V8" s="198">
        <f>'13_Multiplicateurs '!$M$7</f>
        <v>2.4701</v>
      </c>
      <c r="W8" s="198">
        <f>'13_Multiplicateurs '!$M$7</f>
        <v>2.4701</v>
      </c>
      <c r="X8" s="198">
        <f>'13_Multiplicateurs '!$N$7</f>
        <v>2.4301</v>
      </c>
      <c r="Y8" s="198">
        <f>'13_Multiplicateurs '!$N$7</f>
        <v>2.4301</v>
      </c>
      <c r="Z8" s="198">
        <f>'13_Multiplicateurs '!$O$7</f>
        <v>2.3802</v>
      </c>
      <c r="AA8" s="198">
        <f>'13_Multiplicateurs '!$O$7</f>
        <v>2.3802</v>
      </c>
      <c r="AB8" s="198">
        <f>'13_Multiplicateurs '!$P$7</f>
        <v>2.3251999999999997</v>
      </c>
      <c r="AC8" s="198">
        <f>'13_Multiplicateurs '!$P$7</f>
        <v>2.3251999999999997</v>
      </c>
    </row>
    <row r="9" spans="2:29" ht="27.75" customHeight="1" thickBot="1">
      <c r="B9" s="6" t="s">
        <v>409</v>
      </c>
      <c r="C9" s="177" t="s">
        <v>397</v>
      </c>
      <c r="D9" s="199">
        <f aca="true" t="shared" si="2" ref="D9:AA9">D8*D7</f>
        <v>0.0035691</v>
      </c>
      <c r="E9" s="199">
        <f t="shared" si="2"/>
        <v>0.0035691</v>
      </c>
      <c r="F9" s="199">
        <f t="shared" si="2"/>
        <v>0.0036441000000000004</v>
      </c>
      <c r="G9" s="199">
        <f t="shared" si="2"/>
        <v>0.0036441000000000004</v>
      </c>
      <c r="H9" s="199">
        <f t="shared" si="2"/>
        <v>0.0037494</v>
      </c>
      <c r="I9" s="199">
        <f t="shared" si="2"/>
        <v>0.0037494</v>
      </c>
      <c r="J9" s="199">
        <f t="shared" si="2"/>
        <v>0.0037494</v>
      </c>
      <c r="K9" s="199">
        <f t="shared" si="2"/>
        <v>0.0037494</v>
      </c>
      <c r="L9" s="199">
        <f t="shared" si="2"/>
        <v>0.00375</v>
      </c>
      <c r="M9" s="199">
        <f t="shared" si="2"/>
        <v>0.00375</v>
      </c>
      <c r="N9" s="199">
        <f t="shared" si="2"/>
        <v>0.00375</v>
      </c>
      <c r="O9" s="199">
        <f t="shared" si="2"/>
        <v>0.00375</v>
      </c>
      <c r="P9" s="199">
        <f t="shared" si="2"/>
        <v>0.00375</v>
      </c>
      <c r="Q9" s="199">
        <f t="shared" si="2"/>
        <v>0.00375</v>
      </c>
      <c r="R9" s="199">
        <f t="shared" si="2"/>
        <v>0.00375015</v>
      </c>
      <c r="S9" s="199">
        <f t="shared" si="2"/>
        <v>0.00375015</v>
      </c>
      <c r="T9" s="199">
        <f t="shared" si="2"/>
        <v>0.00375015</v>
      </c>
      <c r="U9" s="199">
        <f t="shared" si="2"/>
        <v>0.00375015</v>
      </c>
      <c r="V9" s="199">
        <f t="shared" si="2"/>
        <v>0.00370515</v>
      </c>
      <c r="W9" s="199">
        <f t="shared" si="2"/>
        <v>0.00370515</v>
      </c>
      <c r="X9" s="199">
        <f t="shared" si="2"/>
        <v>0.0036451499999999998</v>
      </c>
      <c r="Y9" s="199">
        <f t="shared" si="2"/>
        <v>0.0036451499999999998</v>
      </c>
      <c r="Z9" s="199">
        <f t="shared" si="2"/>
        <v>0.0035702999999999998</v>
      </c>
      <c r="AA9" s="199">
        <f t="shared" si="2"/>
        <v>0.0035702999999999998</v>
      </c>
      <c r="AB9" s="199">
        <f>AB8*AB7</f>
        <v>0.0034877999999999997</v>
      </c>
      <c r="AC9" s="199">
        <f>AC8*AC7</f>
        <v>0.0034877999999999997</v>
      </c>
    </row>
    <row r="10" spans="2:29" ht="22.5" customHeight="1" thickBot="1">
      <c r="B10" s="6" t="s">
        <v>410</v>
      </c>
      <c r="C10" s="177" t="s">
        <v>29</v>
      </c>
      <c r="D10" s="198">
        <v>1000000</v>
      </c>
      <c r="E10" s="198">
        <v>1000000</v>
      </c>
      <c r="F10" s="198">
        <v>1000000</v>
      </c>
      <c r="G10" s="198">
        <v>1000000</v>
      </c>
      <c r="H10" s="198">
        <v>1000000</v>
      </c>
      <c r="I10" s="198">
        <v>1000000</v>
      </c>
      <c r="J10" s="198">
        <v>1000000</v>
      </c>
      <c r="K10" s="198">
        <v>1000000</v>
      </c>
      <c r="L10" s="198">
        <v>1000000</v>
      </c>
      <c r="M10" s="198">
        <v>1000000</v>
      </c>
      <c r="N10" s="198">
        <v>1000000</v>
      </c>
      <c r="O10" s="198">
        <v>1000000</v>
      </c>
      <c r="P10" s="198">
        <v>1000000</v>
      </c>
      <c r="Q10" s="198">
        <v>1000000</v>
      </c>
      <c r="R10" s="198">
        <v>1000000</v>
      </c>
      <c r="S10" s="198">
        <v>1000000</v>
      </c>
      <c r="T10" s="198">
        <v>1000000</v>
      </c>
      <c r="U10" s="198">
        <v>1000000</v>
      </c>
      <c r="V10" s="198">
        <v>1000000</v>
      </c>
      <c r="W10" s="198">
        <v>1000000</v>
      </c>
      <c r="X10" s="198">
        <v>1000000</v>
      </c>
      <c r="Y10" s="198">
        <v>1000000</v>
      </c>
      <c r="Z10" s="198">
        <v>1000000</v>
      </c>
      <c r="AA10" s="198">
        <v>1000000</v>
      </c>
      <c r="AB10" s="198">
        <v>1000000</v>
      </c>
      <c r="AC10" s="198">
        <v>1000000</v>
      </c>
    </row>
    <row r="11" spans="2:29" ht="35.25" customHeight="1" thickBot="1">
      <c r="B11" s="6" t="s">
        <v>411</v>
      </c>
      <c r="C11" s="177" t="s">
        <v>398</v>
      </c>
      <c r="D11" s="200">
        <f aca="true" t="shared" si="3" ref="D11:AA11">D7*D4/D10</f>
        <v>0.003</v>
      </c>
      <c r="E11" s="200">
        <f t="shared" si="3"/>
        <v>0.0015</v>
      </c>
      <c r="F11" s="200">
        <f t="shared" si="3"/>
        <v>0.003</v>
      </c>
      <c r="G11" s="200">
        <f t="shared" si="3"/>
        <v>0.0015</v>
      </c>
      <c r="H11" s="200">
        <f t="shared" si="3"/>
        <v>0.003</v>
      </c>
      <c r="I11" s="200">
        <f t="shared" si="3"/>
        <v>0.0015</v>
      </c>
      <c r="J11" s="200">
        <f t="shared" si="3"/>
        <v>0.003</v>
      </c>
      <c r="K11" s="200">
        <f t="shared" si="3"/>
        <v>0.0015</v>
      </c>
      <c r="L11" s="200">
        <f t="shared" si="3"/>
        <v>0.003</v>
      </c>
      <c r="M11" s="200">
        <f t="shared" si="3"/>
        <v>0.0015</v>
      </c>
      <c r="N11" s="200">
        <f t="shared" si="3"/>
        <v>0.003</v>
      </c>
      <c r="O11" s="200">
        <f t="shared" si="3"/>
        <v>0.0015</v>
      </c>
      <c r="P11" s="200">
        <f t="shared" si="3"/>
        <v>0.003</v>
      </c>
      <c r="Q11" s="200">
        <f t="shared" si="3"/>
        <v>0.0015</v>
      </c>
      <c r="R11" s="200">
        <f t="shared" si="3"/>
        <v>0.003</v>
      </c>
      <c r="S11" s="200">
        <f t="shared" si="3"/>
        <v>0.0015</v>
      </c>
      <c r="T11" s="200">
        <f t="shared" si="3"/>
        <v>0.003</v>
      </c>
      <c r="U11" s="200">
        <f t="shared" si="3"/>
        <v>0.0015</v>
      </c>
      <c r="V11" s="200">
        <f t="shared" si="3"/>
        <v>0.003</v>
      </c>
      <c r="W11" s="200">
        <f t="shared" si="3"/>
        <v>0.0015</v>
      </c>
      <c r="X11" s="200">
        <f t="shared" si="3"/>
        <v>0.003</v>
      </c>
      <c r="Y11" s="200">
        <f t="shared" si="3"/>
        <v>0.0015</v>
      </c>
      <c r="Z11" s="200">
        <f t="shared" si="3"/>
        <v>0.003</v>
      </c>
      <c r="AA11" s="200">
        <f t="shared" si="3"/>
        <v>0.0015</v>
      </c>
      <c r="AB11" s="200">
        <f>AB7*AB4/AB10</f>
        <v>0.003</v>
      </c>
      <c r="AC11" s="200">
        <f>AC7*AC4/AC10</f>
        <v>0.0015</v>
      </c>
    </row>
    <row r="12" spans="2:29" ht="32.25" customHeight="1" thickBot="1">
      <c r="B12" s="6" t="s">
        <v>412</v>
      </c>
      <c r="C12" s="177" t="s">
        <v>399</v>
      </c>
      <c r="D12" s="200">
        <f>D11*D8</f>
        <v>0.0071382</v>
      </c>
      <c r="E12" s="200">
        <f>E11*E8</f>
        <v>0.0035691</v>
      </c>
      <c r="F12" s="200">
        <f>F11*F8</f>
        <v>0.007288200000000001</v>
      </c>
      <c r="G12" s="200">
        <f aca="true" t="shared" si="4" ref="G12:AA12">G11*G8</f>
        <v>0.0036441000000000004</v>
      </c>
      <c r="H12" s="200">
        <f t="shared" si="4"/>
        <v>0.0074988</v>
      </c>
      <c r="I12" s="200">
        <f t="shared" si="4"/>
        <v>0.0037494</v>
      </c>
      <c r="J12" s="200">
        <f t="shared" si="4"/>
        <v>0.0074988</v>
      </c>
      <c r="K12" s="200">
        <f t="shared" si="4"/>
        <v>0.0037494</v>
      </c>
      <c r="L12" s="200">
        <f t="shared" si="4"/>
        <v>0.0075</v>
      </c>
      <c r="M12" s="200">
        <f t="shared" si="4"/>
        <v>0.00375</v>
      </c>
      <c r="N12" s="200">
        <f t="shared" si="4"/>
        <v>0.0075</v>
      </c>
      <c r="O12" s="200">
        <f t="shared" si="4"/>
        <v>0.00375</v>
      </c>
      <c r="P12" s="200">
        <f t="shared" si="4"/>
        <v>0.0075</v>
      </c>
      <c r="Q12" s="200">
        <f t="shared" si="4"/>
        <v>0.00375</v>
      </c>
      <c r="R12" s="200">
        <f t="shared" si="4"/>
        <v>0.0075003</v>
      </c>
      <c r="S12" s="200">
        <f t="shared" si="4"/>
        <v>0.00375015</v>
      </c>
      <c r="T12" s="200">
        <f t="shared" si="4"/>
        <v>0.0075003</v>
      </c>
      <c r="U12" s="200">
        <f t="shared" si="4"/>
        <v>0.00375015</v>
      </c>
      <c r="V12" s="200">
        <f t="shared" si="4"/>
        <v>0.0074103</v>
      </c>
      <c r="W12" s="200">
        <f t="shared" si="4"/>
        <v>0.00370515</v>
      </c>
      <c r="X12" s="200">
        <f t="shared" si="4"/>
        <v>0.0072902999999999996</v>
      </c>
      <c r="Y12" s="200">
        <f t="shared" si="4"/>
        <v>0.0036451499999999998</v>
      </c>
      <c r="Z12" s="200">
        <f t="shared" si="4"/>
        <v>0.0071405999999999996</v>
      </c>
      <c r="AA12" s="200">
        <f t="shared" si="4"/>
        <v>0.0035702999999999998</v>
      </c>
      <c r="AB12" s="200">
        <f>AB11*AB8</f>
        <v>0.006975599999999999</v>
      </c>
      <c r="AC12" s="200">
        <f>AC11*AC8</f>
        <v>0.0034877999999999997</v>
      </c>
    </row>
    <row r="13" spans="2:29" ht="30.75" customHeight="1" thickBot="1">
      <c r="B13" s="6" t="s">
        <v>413</v>
      </c>
      <c r="C13" s="177" t="s">
        <v>400</v>
      </c>
      <c r="D13" s="201">
        <f aca="true" t="shared" si="5" ref="D13:AA13">D12*D10</f>
        <v>7138.2</v>
      </c>
      <c r="E13" s="201">
        <f t="shared" si="5"/>
        <v>3569.1</v>
      </c>
      <c r="F13" s="201">
        <f t="shared" si="5"/>
        <v>7288.200000000001</v>
      </c>
      <c r="G13" s="201">
        <f t="shared" si="5"/>
        <v>3644.1000000000004</v>
      </c>
      <c r="H13" s="201">
        <f t="shared" si="5"/>
        <v>7498.8</v>
      </c>
      <c r="I13" s="201">
        <f t="shared" si="5"/>
        <v>3749.4</v>
      </c>
      <c r="J13" s="201">
        <f t="shared" si="5"/>
        <v>7498.8</v>
      </c>
      <c r="K13" s="201">
        <f t="shared" si="5"/>
        <v>3749.4</v>
      </c>
      <c r="L13" s="201">
        <f t="shared" si="5"/>
        <v>7500</v>
      </c>
      <c r="M13" s="201">
        <f t="shared" si="5"/>
        <v>3750</v>
      </c>
      <c r="N13" s="201">
        <f t="shared" si="5"/>
        <v>7500</v>
      </c>
      <c r="O13" s="201">
        <f t="shared" si="5"/>
        <v>3750</v>
      </c>
      <c r="P13" s="201">
        <f t="shared" si="5"/>
        <v>7500</v>
      </c>
      <c r="Q13" s="201">
        <f t="shared" si="5"/>
        <v>3750</v>
      </c>
      <c r="R13" s="201">
        <f t="shared" si="5"/>
        <v>7500.299999999999</v>
      </c>
      <c r="S13" s="201">
        <f t="shared" si="5"/>
        <v>3750.1499999999996</v>
      </c>
      <c r="T13" s="201">
        <f t="shared" si="5"/>
        <v>7500.299999999999</v>
      </c>
      <c r="U13" s="201">
        <f t="shared" si="5"/>
        <v>3750.1499999999996</v>
      </c>
      <c r="V13" s="201">
        <f t="shared" si="5"/>
        <v>7410.3</v>
      </c>
      <c r="W13" s="201">
        <f t="shared" si="5"/>
        <v>3705.15</v>
      </c>
      <c r="X13" s="201">
        <f t="shared" si="5"/>
        <v>7290.299999999999</v>
      </c>
      <c r="Y13" s="201">
        <f t="shared" si="5"/>
        <v>3645.1499999999996</v>
      </c>
      <c r="Z13" s="201">
        <f t="shared" si="5"/>
        <v>7140.599999999999</v>
      </c>
      <c r="AA13" s="201">
        <f t="shared" si="5"/>
        <v>3570.2999999999997</v>
      </c>
      <c r="AB13" s="201">
        <f>AB12*AB10</f>
        <v>6975.599999999999</v>
      </c>
      <c r="AC13" s="201">
        <f>AC12*AC10</f>
        <v>3487.7999999999997</v>
      </c>
    </row>
    <row r="14" spans="2:29" ht="26.25" thickBot="1">
      <c r="B14" s="6" t="s">
        <v>414</v>
      </c>
      <c r="C14" s="6" t="s">
        <v>401</v>
      </c>
      <c r="D14" s="202" t="s">
        <v>299</v>
      </c>
      <c r="E14" s="201">
        <v>3569</v>
      </c>
      <c r="F14" s="202" t="s">
        <v>299</v>
      </c>
      <c r="G14" s="201">
        <v>3644</v>
      </c>
      <c r="H14" s="202" t="s">
        <v>299</v>
      </c>
      <c r="I14" s="201">
        <v>3749</v>
      </c>
      <c r="J14" s="202" t="s">
        <v>299</v>
      </c>
      <c r="K14" s="201">
        <v>3749</v>
      </c>
      <c r="L14" s="202" t="s">
        <v>299</v>
      </c>
      <c r="M14" s="201">
        <v>3750</v>
      </c>
      <c r="N14" s="202" t="s">
        <v>299</v>
      </c>
      <c r="O14" s="201">
        <v>3750</v>
      </c>
      <c r="P14" s="202" t="s">
        <v>299</v>
      </c>
      <c r="Q14" s="201">
        <v>3750</v>
      </c>
      <c r="R14" s="202" t="s">
        <v>299</v>
      </c>
      <c r="S14" s="201">
        <v>3750</v>
      </c>
      <c r="T14" s="202" t="s">
        <v>299</v>
      </c>
      <c r="U14" s="201">
        <v>3750</v>
      </c>
      <c r="V14" s="202" t="s">
        <v>299</v>
      </c>
      <c r="W14" s="201">
        <v>3705</v>
      </c>
      <c r="X14" s="202" t="s">
        <v>299</v>
      </c>
      <c r="Y14" s="201">
        <v>3645</v>
      </c>
      <c r="Z14" s="202" t="s">
        <v>299</v>
      </c>
      <c r="AA14" s="201">
        <v>3570</v>
      </c>
      <c r="AB14" s="202" t="s">
        <v>299</v>
      </c>
      <c r="AC14" s="201">
        <v>3488</v>
      </c>
    </row>
  </sheetData>
  <mergeCells count="14">
    <mergeCell ref="N3:O3"/>
    <mergeCell ref="P3:Q3"/>
    <mergeCell ref="R3:S3"/>
    <mergeCell ref="T3:U3"/>
    <mergeCell ref="AB3:AC3"/>
    <mergeCell ref="Z3:AA3"/>
    <mergeCell ref="B3:C3"/>
    <mergeCell ref="D3:E3"/>
    <mergeCell ref="V3:W3"/>
    <mergeCell ref="F3:G3"/>
    <mergeCell ref="H3:I3"/>
    <mergeCell ref="J3:K3"/>
    <mergeCell ref="L3:M3"/>
    <mergeCell ref="X3:Y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4" sqref="B4"/>
    </sheetView>
  </sheetViews>
  <sheetFormatPr defaultColWidth="12" defaultRowHeight="11.25"/>
  <sheetData>
    <row r="1" ht="11.25">
      <c r="A1" s="142" t="s">
        <v>322</v>
      </c>
    </row>
    <row r="4" spans="2:3" ht="12.75">
      <c r="B4" s="56" t="s">
        <v>417</v>
      </c>
      <c r="C4" s="56"/>
    </row>
    <row r="5" spans="2:3" ht="12.75">
      <c r="B5" s="60"/>
      <c r="C5" s="60"/>
    </row>
    <row r="6" spans="2:3" ht="12.75">
      <c r="B6" s="56" t="s">
        <v>116</v>
      </c>
      <c r="C6" s="56"/>
    </row>
    <row r="7" spans="2:3" ht="12.75">
      <c r="B7" s="59"/>
      <c r="C7" s="57"/>
    </row>
    <row r="8" spans="2:3" ht="12.75">
      <c r="B8" s="59" t="s">
        <v>118</v>
      </c>
      <c r="C8" s="57"/>
    </row>
    <row r="9" spans="2:3" ht="12.75">
      <c r="B9" s="59" t="s">
        <v>179</v>
      </c>
      <c r="C9" s="57"/>
    </row>
    <row r="10" spans="2:3" ht="12.75">
      <c r="B10" s="59" t="s">
        <v>187</v>
      </c>
      <c r="C10" s="57"/>
    </row>
    <row r="11" spans="2:3" ht="12.75">
      <c r="B11" s="59" t="s">
        <v>188</v>
      </c>
      <c r="C11" s="57"/>
    </row>
    <row r="12" spans="2:3" ht="12.75">
      <c r="B12" s="59" t="s">
        <v>76</v>
      </c>
      <c r="C12" s="57"/>
    </row>
    <row r="13" spans="2:3" ht="12.75">
      <c r="B13" s="59" t="s">
        <v>77</v>
      </c>
      <c r="C13" s="57"/>
    </row>
    <row r="14" spans="2:3" ht="12.75">
      <c r="B14" s="59"/>
      <c r="C14" s="57"/>
    </row>
    <row r="15" spans="2:3" ht="12.75">
      <c r="B15" s="59" t="s">
        <v>51</v>
      </c>
      <c r="C15" s="57"/>
    </row>
    <row r="16" spans="2:3" ht="12.75">
      <c r="B16" s="59" t="s">
        <v>52</v>
      </c>
      <c r="C16" s="57"/>
    </row>
    <row r="17" spans="2:3" ht="12.75">
      <c r="B17" s="59"/>
      <c r="C17" s="57"/>
    </row>
    <row r="18" spans="2:3" ht="12.75">
      <c r="B18" s="54" t="s">
        <v>78</v>
      </c>
      <c r="C18" s="57"/>
    </row>
    <row r="19" spans="2:3" ht="12.75">
      <c r="B19" s="54" t="s">
        <v>79</v>
      </c>
      <c r="C19" s="57"/>
    </row>
    <row r="20" spans="2:3" ht="12.75">
      <c r="B20" s="59"/>
      <c r="C20" s="57"/>
    </row>
    <row r="21" ht="12.75">
      <c r="B21" s="58"/>
    </row>
    <row r="22" ht="12.75">
      <c r="B22" s="59" t="s">
        <v>273</v>
      </c>
    </row>
    <row r="23" ht="15.75">
      <c r="B23" s="62"/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31"/>
  <sheetViews>
    <sheetView workbookViewId="0" topLeftCell="A1">
      <selection activeCell="C2" sqref="C2"/>
    </sheetView>
  </sheetViews>
  <sheetFormatPr defaultColWidth="12" defaultRowHeight="11.25"/>
  <cols>
    <col min="1" max="1" width="4" style="0" customWidth="1"/>
    <col min="2" max="2" width="19" style="0" customWidth="1"/>
    <col min="3" max="3" width="81.16015625" style="0" customWidth="1"/>
    <col min="4" max="4" width="33.16015625" style="0" customWidth="1"/>
  </cols>
  <sheetData>
    <row r="3" ht="12" thickBot="1"/>
    <row r="4" spans="2:4" ht="36" customHeight="1" thickBot="1">
      <c r="B4" s="220" t="s">
        <v>275</v>
      </c>
      <c r="C4" s="221"/>
      <c r="D4" s="222"/>
    </row>
    <row r="5" spans="2:4" ht="54.75" customHeight="1" thickBot="1">
      <c r="B5" s="46" t="s">
        <v>339</v>
      </c>
      <c r="C5" s="116" t="s">
        <v>248</v>
      </c>
      <c r="D5" s="6" t="s">
        <v>190</v>
      </c>
    </row>
    <row r="6" spans="2:4" ht="23.25" customHeight="1" thickBot="1">
      <c r="B6" s="67">
        <v>1</v>
      </c>
      <c r="C6" s="53" t="s">
        <v>241</v>
      </c>
      <c r="D6" s="164" t="s">
        <v>321</v>
      </c>
    </row>
    <row r="7" spans="2:4" ht="21" customHeight="1" thickBot="1">
      <c r="B7" s="67">
        <f>B6+1</f>
        <v>2</v>
      </c>
      <c r="C7" s="47" t="s">
        <v>210</v>
      </c>
      <c r="D7" s="165" t="s">
        <v>323</v>
      </c>
    </row>
    <row r="8" spans="2:4" ht="31.5" customHeight="1" thickBot="1">
      <c r="B8" s="67">
        <f aca="true" t="shared" si="0" ref="B8:B31">B7+1</f>
        <v>3</v>
      </c>
      <c r="C8" s="53" t="s">
        <v>274</v>
      </c>
      <c r="D8" s="165" t="s">
        <v>324</v>
      </c>
    </row>
    <row r="9" spans="2:4" ht="29.25" customHeight="1" thickBot="1">
      <c r="B9" s="67">
        <f t="shared" si="0"/>
        <v>4</v>
      </c>
      <c r="C9" s="53" t="s">
        <v>276</v>
      </c>
      <c r="D9" s="165" t="s">
        <v>325</v>
      </c>
    </row>
    <row r="10" spans="2:4" ht="36.75" customHeight="1" thickBot="1">
      <c r="B10" s="67">
        <f t="shared" si="0"/>
        <v>5</v>
      </c>
      <c r="C10" s="53" t="s">
        <v>277</v>
      </c>
      <c r="D10" s="165" t="s">
        <v>326</v>
      </c>
    </row>
    <row r="11" spans="2:4" ht="30" customHeight="1" thickBot="1">
      <c r="B11" s="67">
        <f t="shared" si="0"/>
        <v>6</v>
      </c>
      <c r="C11" s="53" t="s">
        <v>308</v>
      </c>
      <c r="D11" s="165" t="s">
        <v>327</v>
      </c>
    </row>
    <row r="12" spans="2:4" ht="30.75" customHeight="1" thickBot="1">
      <c r="B12" s="67">
        <f t="shared" si="0"/>
        <v>7</v>
      </c>
      <c r="C12" s="53" t="s">
        <v>310</v>
      </c>
      <c r="D12" s="165" t="s">
        <v>328</v>
      </c>
    </row>
    <row r="13" spans="2:4" ht="27.75" customHeight="1" thickBot="1">
      <c r="B13" s="67">
        <f t="shared" si="0"/>
        <v>8</v>
      </c>
      <c r="C13" s="53" t="s">
        <v>278</v>
      </c>
      <c r="D13" s="165" t="s">
        <v>329</v>
      </c>
    </row>
    <row r="14" spans="2:4" ht="26.25" customHeight="1" thickBot="1">
      <c r="B14" s="67">
        <f t="shared" si="0"/>
        <v>9</v>
      </c>
      <c r="C14" s="53" t="s">
        <v>279</v>
      </c>
      <c r="D14" s="165" t="s">
        <v>330</v>
      </c>
    </row>
    <row r="15" spans="2:4" ht="32.25" customHeight="1" thickBot="1">
      <c r="B15" s="67">
        <f t="shared" si="0"/>
        <v>10</v>
      </c>
      <c r="C15" s="53" t="s">
        <v>280</v>
      </c>
      <c r="D15" s="165" t="s">
        <v>331</v>
      </c>
    </row>
    <row r="16" spans="2:4" ht="35.25" customHeight="1" thickBot="1">
      <c r="B16" s="67">
        <f t="shared" si="0"/>
        <v>11</v>
      </c>
      <c r="C16" s="53" t="s">
        <v>281</v>
      </c>
      <c r="D16" s="165" t="s">
        <v>332</v>
      </c>
    </row>
    <row r="17" spans="2:4" ht="36.75" customHeight="1" thickBot="1">
      <c r="B17" s="67">
        <f t="shared" si="0"/>
        <v>12</v>
      </c>
      <c r="C17" s="53" t="s">
        <v>313</v>
      </c>
      <c r="D17" s="165" t="s">
        <v>333</v>
      </c>
    </row>
    <row r="18" spans="2:4" ht="26.25" customHeight="1" thickBot="1">
      <c r="B18" s="67">
        <f t="shared" si="0"/>
        <v>13</v>
      </c>
      <c r="C18" s="53" t="s">
        <v>337</v>
      </c>
      <c r="D18" s="165" t="s">
        <v>334</v>
      </c>
    </row>
    <row r="19" spans="2:4" ht="21" customHeight="1" thickBot="1">
      <c r="B19" s="67">
        <f t="shared" si="0"/>
        <v>14</v>
      </c>
      <c r="C19" s="53" t="s">
        <v>314</v>
      </c>
      <c r="D19" s="164" t="s">
        <v>335</v>
      </c>
    </row>
    <row r="20" spans="2:4" ht="16.5" thickBot="1">
      <c r="B20" s="67">
        <f t="shared" si="0"/>
        <v>15</v>
      </c>
      <c r="C20" s="53" t="s">
        <v>212</v>
      </c>
      <c r="D20" s="164" t="s">
        <v>336</v>
      </c>
    </row>
    <row r="21" spans="2:4" ht="33.75" customHeight="1" thickBot="1">
      <c r="B21" s="67">
        <f t="shared" si="0"/>
        <v>16</v>
      </c>
      <c r="C21" s="53" t="s">
        <v>416</v>
      </c>
      <c r="D21" s="164" t="s">
        <v>427</v>
      </c>
    </row>
    <row r="22" spans="2:4" ht="16.5" thickBot="1">
      <c r="B22" s="67">
        <f t="shared" si="0"/>
        <v>17</v>
      </c>
      <c r="C22" s="53" t="s">
        <v>115</v>
      </c>
      <c r="D22" s="165" t="s">
        <v>428</v>
      </c>
    </row>
    <row r="23" spans="2:4" ht="16.5" thickBot="1">
      <c r="B23" s="67">
        <f t="shared" si="0"/>
        <v>18</v>
      </c>
      <c r="C23" s="178" t="s">
        <v>315</v>
      </c>
      <c r="D23" s="165" t="s">
        <v>429</v>
      </c>
    </row>
    <row r="24" spans="2:4" ht="16.5" thickBot="1">
      <c r="B24" s="67">
        <f t="shared" si="0"/>
        <v>19</v>
      </c>
      <c r="C24" s="53" t="s">
        <v>316</v>
      </c>
      <c r="D24" s="165" t="s">
        <v>430</v>
      </c>
    </row>
    <row r="25" spans="2:4" ht="20.25" customHeight="1" thickBot="1">
      <c r="B25" s="67">
        <f t="shared" si="0"/>
        <v>20</v>
      </c>
      <c r="C25" s="53" t="s">
        <v>317</v>
      </c>
      <c r="D25" s="165" t="s">
        <v>431</v>
      </c>
    </row>
    <row r="26" spans="2:4" ht="32.25" customHeight="1" thickBot="1">
      <c r="B26" s="67">
        <f t="shared" si="0"/>
        <v>21</v>
      </c>
      <c r="C26" s="53" t="s">
        <v>318</v>
      </c>
      <c r="D26" s="165" t="s">
        <v>432</v>
      </c>
    </row>
    <row r="27" spans="2:4" ht="34.5" customHeight="1" thickBot="1">
      <c r="B27" s="67">
        <f t="shared" si="0"/>
        <v>22</v>
      </c>
      <c r="C27" s="53" t="s">
        <v>433</v>
      </c>
      <c r="D27" s="165" t="s">
        <v>434</v>
      </c>
    </row>
    <row r="28" spans="2:4" ht="30" customHeight="1" thickBot="1">
      <c r="B28" s="67">
        <f t="shared" si="0"/>
        <v>23</v>
      </c>
      <c r="C28" s="53" t="s">
        <v>319</v>
      </c>
      <c r="D28" s="165" t="s">
        <v>435</v>
      </c>
    </row>
    <row r="29" spans="2:4" ht="25.5" customHeight="1" thickBot="1">
      <c r="B29" s="67">
        <f t="shared" si="0"/>
        <v>24</v>
      </c>
      <c r="C29" s="53" t="s">
        <v>320</v>
      </c>
      <c r="D29" s="165" t="s">
        <v>436</v>
      </c>
    </row>
    <row r="30" spans="2:4" ht="16.5" thickBot="1">
      <c r="B30" s="67">
        <f t="shared" si="0"/>
        <v>25</v>
      </c>
      <c r="C30" s="53" t="s">
        <v>437</v>
      </c>
      <c r="D30" s="165" t="s">
        <v>438</v>
      </c>
    </row>
    <row r="31" spans="2:4" ht="16.5" thickBot="1">
      <c r="B31" s="67">
        <f t="shared" si="0"/>
        <v>26</v>
      </c>
      <c r="C31" s="53" t="s">
        <v>439</v>
      </c>
      <c r="D31" s="165" t="s">
        <v>440</v>
      </c>
    </row>
  </sheetData>
  <mergeCells count="1">
    <mergeCell ref="B4:D4"/>
  </mergeCells>
  <hyperlinks>
    <hyperlink ref="D6" location="'1_Les 4 cas'!A1" display="'1_Les 4 cas'!A1"/>
    <hyperlink ref="D7" location="'2_Recap Taux pour EMTR'!A1" display="'2_Recap Taux pour EMTR'!A1"/>
    <hyperlink ref="D8" location="'3_Synthèse calcul taux_et cfis'!A1" display="'3_Synthèse calcul taux_et cfis'!A1"/>
    <hyperlink ref="D9" location="'4_Comp_montant_charge fiscal'!A1" display="'4_Comp_montant_charge fiscal'!A1"/>
    <hyperlink ref="D10" location="'5_Calcul des montants d''impôt'!A1" display="'5_Calcul des montants d''impôt'!A1"/>
    <hyperlink ref="D11" location="'6_Recap  t'' pour montant'!A1" display="'6_Recap  t'' pour montant'!A1"/>
    <hyperlink ref="D12" location="'7_ t'' pour version texte'!A1" display="'7_ t'' pour version texte'!A1"/>
    <hyperlink ref="D13" location="'8_Calcul des t'' avec capital'!A1" display="'8_Calcul des t'' avec capital'!A1"/>
    <hyperlink ref="D14" location="'9_Calcul des t'' sans capital'!A1" display="'9_Calcul des t'' sans capital'!A1"/>
    <hyperlink ref="D15" location="'10_Recap_ tc et tk nominaux'!A1" display="'10_Recap_ tc et tk nominaux'!A1"/>
    <hyperlink ref="D16" location="'11_tc_Taux nominal bénéfice'!A1" display="'11_tc_Taux nominal bénéfice'!A1"/>
    <hyperlink ref="D17" location="'12_tk_Taux nominal capital'!A1" display="'12_tk_Taux nominal capital'!A1"/>
    <hyperlink ref="D18" location="'13_Multiplicateurs '!A1" display="'13_Multiplicateurs '!A1"/>
    <hyperlink ref="D19" location="'14_ Données taux bénéfice'!A1" display="'14_ Données taux bénéfice'!A1"/>
    <hyperlink ref="D20" location="'15_Données taux capital'!A1" display="'15_Données taux capital'!A1"/>
    <hyperlink ref="D21" location="'16_Calcul tk pour comp cfis'!A1" display="'16_Calcul tk pour comp cfis'!A1"/>
    <hyperlink ref="D22" location="'17_Texte_Base légales'!A1" display="'17_Texte_Base légales'!A1"/>
    <hyperlink ref="D23" location="'18_Législation des taux canton'!A1" display="'18_Législation des taux canton'!A1"/>
    <hyperlink ref="D24" location="'19_Législation des taux_Conf'!A1" display="'19_Législation des taux_Conf'!A1"/>
    <hyperlink ref="D25" location="'20_Texte2_Calcul_Canton'!A1" display="'20_Texte2_Calcul_Canton'!A1"/>
    <hyperlink ref="D26" location="'21_Calcul du taux de base M1'!A1" display="'21_Calcul du taux de base M1'!A1"/>
    <hyperlink ref="D27" location="'22_Calcul du taux de base_M2'!A1" display="'22_Calcul du taux de base_M2'!A1"/>
    <hyperlink ref="D28" location="'23_conf calcul_M1'!A1" display="'23_conf calcul_M1'!A1"/>
    <hyperlink ref="D29" location="'24_conf_Calcul_M2'!A1" display="'24_conf_Calcul_M2'!A1"/>
    <hyperlink ref="D30" location="'25_retrouver tb quand tk donné'!A1" display="'25_retrouver tb quand tk donné'!A1"/>
    <hyperlink ref="D31" location="'26_retrouver tk quand tc donné'!A1" display="'26_retrouver tk quand tc donné'!A1"/>
  </hyperlinks>
  <printOptions/>
  <pageMargins left="0.75" right="0.75" top="1" bottom="1" header="0.4921259845" footer="0.4921259845"/>
  <pageSetup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A1" sqref="A1"/>
    </sheetView>
  </sheetViews>
  <sheetFormatPr defaultColWidth="12" defaultRowHeight="11.25"/>
  <cols>
    <col min="1" max="1" width="9.83203125" style="0" customWidth="1"/>
    <col min="2" max="2" width="46" style="0" customWidth="1"/>
    <col min="3" max="3" width="37.66015625" style="0" customWidth="1"/>
  </cols>
  <sheetData>
    <row r="1" ht="11.25">
      <c r="A1" s="142" t="s">
        <v>322</v>
      </c>
    </row>
    <row r="3" ht="12" thickBot="1"/>
    <row r="4" spans="2:3" ht="22.5" customHeight="1" thickBot="1">
      <c r="B4" s="252" t="s">
        <v>418</v>
      </c>
      <c r="C4" s="253"/>
    </row>
    <row r="5" spans="2:3" ht="17.25" customHeight="1" thickBot="1">
      <c r="B5" s="255" t="s">
        <v>185</v>
      </c>
      <c r="C5" s="256"/>
    </row>
    <row r="6" spans="2:3" ht="29.25" customHeight="1" thickBot="1">
      <c r="B6" s="20" t="s">
        <v>285</v>
      </c>
      <c r="C6" s="53" t="s">
        <v>286</v>
      </c>
    </row>
    <row r="7" spans="2:3" ht="24" customHeight="1" thickBot="1">
      <c r="B7" s="20" t="s">
        <v>31</v>
      </c>
      <c r="C7" s="16">
        <v>0.04</v>
      </c>
    </row>
    <row r="8" spans="2:3" ht="40.5" customHeight="1" thickBot="1">
      <c r="B8" s="17" t="s">
        <v>173</v>
      </c>
      <c r="C8" s="21">
        <v>0.05</v>
      </c>
    </row>
    <row r="9" spans="2:3" ht="36" customHeight="1" thickBot="1">
      <c r="B9" s="17" t="s">
        <v>32</v>
      </c>
      <c r="C9" s="21">
        <v>0.05</v>
      </c>
    </row>
    <row r="10" spans="2:3" ht="28.5" customHeight="1" thickBot="1">
      <c r="B10" s="17" t="s">
        <v>170</v>
      </c>
      <c r="C10" s="16" t="s">
        <v>283</v>
      </c>
    </row>
    <row r="11" spans="2:3" ht="13.5" thickBot="1">
      <c r="B11" s="255" t="s">
        <v>186</v>
      </c>
      <c r="C11" s="256"/>
    </row>
    <row r="12" spans="2:3" ht="13.5" thickBot="1">
      <c r="B12" s="20" t="s">
        <v>285</v>
      </c>
      <c r="C12" s="150" t="s">
        <v>287</v>
      </c>
    </row>
    <row r="13" spans="2:3" ht="16.5" customHeight="1" thickBot="1">
      <c r="B13" s="20" t="s">
        <v>31</v>
      </c>
      <c r="C13" s="15" t="s">
        <v>282</v>
      </c>
    </row>
    <row r="14" spans="2:3" ht="16.5" customHeight="1" thickBot="1">
      <c r="B14" s="255" t="s">
        <v>292</v>
      </c>
      <c r="C14" s="257"/>
    </row>
    <row r="15" spans="2:3" ht="16.5" customHeight="1" thickBot="1">
      <c r="B15" s="20" t="s">
        <v>288</v>
      </c>
      <c r="C15" s="15" t="s">
        <v>291</v>
      </c>
    </row>
    <row r="16" spans="2:3" ht="16.5" customHeight="1" thickBot="1">
      <c r="B16" s="20" t="s">
        <v>289</v>
      </c>
      <c r="C16" s="15" t="s">
        <v>290</v>
      </c>
    </row>
    <row r="17" spans="2:3" ht="22.5" customHeight="1" thickBot="1">
      <c r="B17" s="213" t="s">
        <v>343</v>
      </c>
      <c r="C17" s="254"/>
    </row>
  </sheetData>
  <mergeCells count="5">
    <mergeCell ref="B4:C4"/>
    <mergeCell ref="B17:C17"/>
    <mergeCell ref="B5:C5"/>
    <mergeCell ref="B11:C11"/>
    <mergeCell ref="B14:C14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fitToHeight="1" fitToWidth="1"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1" sqref="A1"/>
    </sheetView>
  </sheetViews>
  <sheetFormatPr defaultColWidth="12" defaultRowHeight="11.25"/>
  <cols>
    <col min="2" max="2" width="43.83203125" style="0" customWidth="1"/>
    <col min="3" max="3" width="37.66015625" style="0" customWidth="1"/>
    <col min="4" max="4" width="33.16015625" style="0" customWidth="1"/>
  </cols>
  <sheetData>
    <row r="1" ht="11.25">
      <c r="A1" s="142" t="s">
        <v>322</v>
      </c>
    </row>
    <row r="3" ht="12" thickBot="1"/>
    <row r="4" spans="2:5" ht="22.5" customHeight="1" thickBot="1">
      <c r="B4" s="252" t="s">
        <v>419</v>
      </c>
      <c r="C4" s="258"/>
      <c r="D4" s="237"/>
      <c r="E4" s="4"/>
    </row>
    <row r="5" spans="2:5" ht="22.5" customHeight="1" thickBot="1">
      <c r="B5" s="255" t="s">
        <v>295</v>
      </c>
      <c r="C5" s="259"/>
      <c r="D5" s="237"/>
      <c r="E5" s="4"/>
    </row>
    <row r="6" spans="2:4" ht="17.25" customHeight="1" thickBot="1">
      <c r="B6" s="116" t="s">
        <v>298</v>
      </c>
      <c r="C6" s="153" t="s">
        <v>296</v>
      </c>
      <c r="D6" s="116" t="s">
        <v>297</v>
      </c>
    </row>
    <row r="7" spans="2:4" ht="33" customHeight="1" thickBot="1">
      <c r="B7" s="20" t="s">
        <v>285</v>
      </c>
      <c r="C7" s="53" t="s">
        <v>286</v>
      </c>
      <c r="D7" s="53" t="s">
        <v>300</v>
      </c>
    </row>
    <row r="8" spans="2:4" ht="24" customHeight="1" thickBot="1">
      <c r="B8" s="20" t="s">
        <v>31</v>
      </c>
      <c r="C8" s="151">
        <v>0.033</v>
      </c>
      <c r="D8" s="151">
        <v>0.085</v>
      </c>
    </row>
    <row r="9" spans="2:4" ht="40.5" customHeight="1" thickBot="1">
      <c r="B9" s="17" t="s">
        <v>173</v>
      </c>
      <c r="C9" s="151">
        <v>0.033</v>
      </c>
      <c r="D9" s="151" t="s">
        <v>299</v>
      </c>
    </row>
    <row r="10" spans="2:4" ht="36" customHeight="1" thickBot="1">
      <c r="B10" s="17" t="s">
        <v>32</v>
      </c>
      <c r="C10" s="152">
        <v>0.044</v>
      </c>
      <c r="D10" s="152" t="s">
        <v>299</v>
      </c>
    </row>
    <row r="11" spans="2:4" ht="28.5" customHeight="1" thickBot="1">
      <c r="B11" s="17" t="s">
        <v>170</v>
      </c>
      <c r="C11" s="16" t="s">
        <v>294</v>
      </c>
      <c r="D11" s="151">
        <v>0.085</v>
      </c>
    </row>
    <row r="12" spans="2:4" ht="13.5" thickBot="1">
      <c r="B12" s="255" t="s">
        <v>284</v>
      </c>
      <c r="C12" s="259"/>
      <c r="D12" s="237"/>
    </row>
    <row r="13" spans="2:4" ht="13.5" thickBot="1">
      <c r="B13" s="116" t="s">
        <v>301</v>
      </c>
      <c r="C13" s="153" t="s">
        <v>296</v>
      </c>
      <c r="D13" s="116" t="s">
        <v>297</v>
      </c>
    </row>
    <row r="14" spans="2:4" ht="13.5" thickBot="1">
      <c r="B14" s="154" t="s">
        <v>285</v>
      </c>
      <c r="C14" s="150" t="s">
        <v>287</v>
      </c>
      <c r="D14" s="156" t="s">
        <v>293</v>
      </c>
    </row>
    <row r="15" spans="2:4" ht="15" customHeight="1" thickBot="1">
      <c r="B15" s="20" t="s">
        <v>302</v>
      </c>
      <c r="C15" s="155">
        <v>0.000825</v>
      </c>
      <c r="D15" s="156" t="s">
        <v>293</v>
      </c>
    </row>
    <row r="16" spans="2:4" ht="15" customHeight="1" thickBot="1">
      <c r="B16" s="255" t="s">
        <v>292</v>
      </c>
      <c r="C16" s="261"/>
      <c r="D16" s="262"/>
    </row>
    <row r="17" spans="2:4" ht="15" customHeight="1" thickBot="1">
      <c r="B17" s="20" t="s">
        <v>288</v>
      </c>
      <c r="C17" s="263" t="s">
        <v>303</v>
      </c>
      <c r="D17" s="264"/>
    </row>
    <row r="18" spans="2:4" ht="15" customHeight="1" thickBot="1">
      <c r="B18" s="20" t="s">
        <v>289</v>
      </c>
      <c r="C18" s="263" t="s">
        <v>304</v>
      </c>
      <c r="D18" s="264"/>
    </row>
    <row r="19" spans="2:4" ht="22.5" customHeight="1" thickBot="1">
      <c r="B19" s="213" t="s">
        <v>344</v>
      </c>
      <c r="C19" s="260"/>
      <c r="D19" s="237"/>
    </row>
  </sheetData>
  <mergeCells count="7">
    <mergeCell ref="B4:D4"/>
    <mergeCell ref="B5:D5"/>
    <mergeCell ref="B12:D12"/>
    <mergeCell ref="B19:D19"/>
    <mergeCell ref="B16:D16"/>
    <mergeCell ref="C17:D17"/>
    <mergeCell ref="C18:D18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fitToHeight="1" fitToWidth="1"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K16" sqref="K16"/>
    </sheetView>
  </sheetViews>
  <sheetFormatPr defaultColWidth="12" defaultRowHeight="11.25"/>
  <sheetData>
    <row r="1" ht="11.25">
      <c r="A1" s="142" t="s">
        <v>322</v>
      </c>
    </row>
    <row r="3" spans="2:3" ht="15.75">
      <c r="B3" s="55" t="s">
        <v>420</v>
      </c>
      <c r="C3" s="55"/>
    </row>
    <row r="4" spans="2:3" ht="15.75">
      <c r="B4" s="55"/>
      <c r="C4" s="55"/>
    </row>
    <row r="5" spans="2:3" ht="15.75">
      <c r="B5" s="55"/>
      <c r="C5" s="55"/>
    </row>
    <row r="6" spans="2:3" ht="12.75">
      <c r="B6" s="59" t="s">
        <v>54</v>
      </c>
      <c r="C6" s="57"/>
    </row>
    <row r="7" spans="2:3" ht="12.75">
      <c r="B7" s="59" t="s">
        <v>55</v>
      </c>
      <c r="C7" s="57"/>
    </row>
    <row r="8" spans="2:3" ht="12.75">
      <c r="B8" s="59" t="s">
        <v>56</v>
      </c>
      <c r="C8" s="57"/>
    </row>
    <row r="9" spans="2:3" ht="12.75">
      <c r="B9" s="59" t="s">
        <v>57</v>
      </c>
      <c r="C9" s="57"/>
    </row>
    <row r="10" spans="2:3" ht="12.75">
      <c r="B10" s="59"/>
      <c r="C10" s="57"/>
    </row>
    <row r="11" spans="2:3" ht="12.75">
      <c r="B11" s="59"/>
      <c r="C11" s="57"/>
    </row>
    <row r="12" spans="2:3" ht="15.75">
      <c r="B12" s="59" t="s">
        <v>86</v>
      </c>
      <c r="C12" s="57"/>
    </row>
    <row r="13" spans="2:3" ht="12.75">
      <c r="B13" s="59" t="s">
        <v>175</v>
      </c>
      <c r="C13" s="57"/>
    </row>
    <row r="14" spans="2:3" ht="12.75">
      <c r="B14" s="59" t="s">
        <v>105</v>
      </c>
      <c r="C14" s="57"/>
    </row>
    <row r="15" spans="2:3" ht="12.75">
      <c r="B15" s="59"/>
      <c r="C15" s="57"/>
    </row>
    <row r="16" spans="2:12" ht="12.75">
      <c r="B16" s="59" t="s">
        <v>53</v>
      </c>
      <c r="C16" s="57"/>
      <c r="L16" s="7"/>
    </row>
    <row r="17" spans="2:11" ht="12.75">
      <c r="B17" s="59"/>
      <c r="C17" s="57"/>
      <c r="K17" s="163"/>
    </row>
    <row r="18" spans="2:12" ht="12.75">
      <c r="B18" s="59" t="s">
        <v>106</v>
      </c>
      <c r="C18" s="57"/>
      <c r="L18" s="4"/>
    </row>
    <row r="19" spans="2:11" ht="12.75">
      <c r="B19" s="59" t="s">
        <v>107</v>
      </c>
      <c r="C19" s="57"/>
      <c r="K19" s="4"/>
    </row>
    <row r="20" spans="2:11" ht="12.75">
      <c r="B20" s="59" t="s">
        <v>108</v>
      </c>
      <c r="C20" s="57"/>
      <c r="K20" s="163"/>
    </row>
    <row r="21" spans="2:11" ht="15.75">
      <c r="B21" s="59" t="s">
        <v>87</v>
      </c>
      <c r="C21" s="57"/>
      <c r="K21" s="4"/>
    </row>
    <row r="22" spans="2:3" ht="12.75">
      <c r="B22" s="59"/>
      <c r="C22" s="57"/>
    </row>
    <row r="23" spans="2:3" ht="12.75">
      <c r="B23" s="59" t="s">
        <v>109</v>
      </c>
      <c r="C23" s="57"/>
    </row>
    <row r="24" spans="2:3" ht="15.75">
      <c r="B24" s="59" t="s">
        <v>88</v>
      </c>
      <c r="C24" s="57"/>
    </row>
    <row r="25" spans="2:3" ht="15.75">
      <c r="B25" s="59" t="s">
        <v>387</v>
      </c>
      <c r="C25" s="57"/>
    </row>
    <row r="26" spans="2:3" ht="12.75">
      <c r="B26" s="59" t="s">
        <v>388</v>
      </c>
      <c r="C26" s="57"/>
    </row>
    <row r="27" spans="2:3" ht="12.75">
      <c r="B27" s="59" t="s">
        <v>389</v>
      </c>
      <c r="C27" s="57"/>
    </row>
    <row r="28" spans="2:3" ht="12.75">
      <c r="B28" s="59"/>
      <c r="C28" s="57"/>
    </row>
    <row r="29" spans="2:3" ht="12.75">
      <c r="B29" s="59" t="s">
        <v>394</v>
      </c>
      <c r="C29" s="57"/>
    </row>
    <row r="30" spans="2:3" ht="12.75">
      <c r="B30" s="59"/>
      <c r="C30" s="57"/>
    </row>
    <row r="31" spans="2:3" ht="12.75">
      <c r="B31" s="59" t="s">
        <v>390</v>
      </c>
      <c r="C31" s="57"/>
    </row>
    <row r="32" spans="2:3" ht="12.75">
      <c r="B32" s="59" t="s">
        <v>392</v>
      </c>
      <c r="C32" s="57"/>
    </row>
    <row r="33" spans="2:4" ht="12.75">
      <c r="B33" s="59" t="s">
        <v>391</v>
      </c>
      <c r="C33" s="57" t="s">
        <v>393</v>
      </c>
      <c r="D33" s="7">
        <f>15%</f>
        <v>0.15</v>
      </c>
    </row>
    <row r="34" spans="2:3" ht="12.75">
      <c r="B34" s="59"/>
      <c r="C34" s="57"/>
    </row>
    <row r="35" spans="2:3" ht="12.75">
      <c r="B35" s="59"/>
      <c r="C35" s="57"/>
    </row>
    <row r="36" spans="2:3" ht="12.75">
      <c r="B36" s="59" t="s">
        <v>110</v>
      </c>
      <c r="C36" s="57"/>
    </row>
    <row r="37" spans="2:3" ht="12.75">
      <c r="B37" s="59"/>
      <c r="C37" s="57"/>
    </row>
    <row r="38" spans="2:3" ht="15.75">
      <c r="B38" s="59" t="s">
        <v>89</v>
      </c>
      <c r="C38" s="57"/>
    </row>
    <row r="39" spans="2:3" ht="15.75">
      <c r="B39" s="59" t="s">
        <v>90</v>
      </c>
      <c r="C39" s="57"/>
    </row>
    <row r="40" spans="2:3" ht="15.75">
      <c r="B40" s="59" t="s">
        <v>91</v>
      </c>
      <c r="C40" s="57"/>
    </row>
    <row r="41" spans="2:3" ht="15.75">
      <c r="B41" s="59" t="s">
        <v>85</v>
      </c>
      <c r="C41" s="57"/>
    </row>
    <row r="42" ht="12.75">
      <c r="B42" s="59" t="s">
        <v>307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12" defaultRowHeight="11.25"/>
  <cols>
    <col min="1" max="1" width="2.83203125" style="0" customWidth="1"/>
    <col min="2" max="2" width="122.5" style="0" customWidth="1"/>
    <col min="3" max="3" width="15" style="0" customWidth="1"/>
  </cols>
  <sheetData>
    <row r="1" ht="11.25">
      <c r="A1" s="142" t="s">
        <v>322</v>
      </c>
    </row>
    <row r="2" ht="12" thickBot="1">
      <c r="C2" s="9"/>
    </row>
    <row r="3" spans="2:3" ht="13.5" thickBot="1">
      <c r="B3" s="265" t="s">
        <v>421</v>
      </c>
      <c r="C3" s="266"/>
    </row>
    <row r="4" spans="2:3" ht="13.5" thickBot="1">
      <c r="B4" s="267" t="s">
        <v>171</v>
      </c>
      <c r="C4" s="268"/>
    </row>
    <row r="5" spans="2:3" ht="13.5" thickBot="1">
      <c r="B5" s="22" t="s">
        <v>33</v>
      </c>
      <c r="C5" s="31">
        <v>2000000</v>
      </c>
    </row>
    <row r="6" spans="2:3" ht="13.5" thickBot="1">
      <c r="B6" s="22" t="s">
        <v>34</v>
      </c>
      <c r="C6" s="31">
        <v>1000000</v>
      </c>
    </row>
    <row r="7" spans="2:3" ht="13.5" thickBot="1">
      <c r="B7" s="23" t="s">
        <v>35</v>
      </c>
      <c r="C7" s="32">
        <f>C6/C5</f>
        <v>0.5</v>
      </c>
    </row>
    <row r="8" spans="2:5" ht="13.5" thickBot="1">
      <c r="B8" s="24" t="s">
        <v>36</v>
      </c>
      <c r="C8" s="33">
        <v>0.04</v>
      </c>
      <c r="E8" s="10"/>
    </row>
    <row r="9" spans="2:3" ht="13.5" thickBot="1">
      <c r="B9" s="25" t="s">
        <v>37</v>
      </c>
      <c r="C9" s="34">
        <f>C8*C6</f>
        <v>40000</v>
      </c>
    </row>
    <row r="10" spans="2:3" ht="13.5" thickBot="1">
      <c r="B10" s="22" t="s">
        <v>153</v>
      </c>
      <c r="C10" s="35">
        <v>0.04</v>
      </c>
    </row>
    <row r="11" spans="2:3" ht="13.5" thickBot="1">
      <c r="B11" s="22" t="s">
        <v>154</v>
      </c>
      <c r="C11" s="31">
        <f>C10*C5</f>
        <v>80000</v>
      </c>
    </row>
    <row r="12" spans="2:5" ht="13.5" thickBot="1">
      <c r="B12" s="22" t="s">
        <v>155</v>
      </c>
      <c r="C12" s="31">
        <f>C6-C11</f>
        <v>920000</v>
      </c>
      <c r="E12" s="10"/>
    </row>
    <row r="13" spans="2:5" ht="13.5" thickBot="1">
      <c r="B13" s="26" t="s">
        <v>156</v>
      </c>
      <c r="C13" s="36">
        <v>0.05</v>
      </c>
      <c r="E13" s="10"/>
    </row>
    <row r="14" spans="2:3" ht="13.5" thickBot="1">
      <c r="B14" s="27" t="s">
        <v>157</v>
      </c>
      <c r="C14" s="34">
        <f>C13*C12</f>
        <v>46000</v>
      </c>
    </row>
    <row r="15" spans="2:3" ht="13.5" thickBot="1">
      <c r="B15" s="28" t="s">
        <v>158</v>
      </c>
      <c r="C15" s="37">
        <v>0.08</v>
      </c>
    </row>
    <row r="16" spans="1:3" ht="13.5" thickBot="1">
      <c r="A16" s="11"/>
      <c r="B16" s="22" t="s">
        <v>159</v>
      </c>
      <c r="C16" s="38">
        <f>C15*C5</f>
        <v>160000</v>
      </c>
    </row>
    <row r="17" spans="2:3" ht="13.5" thickBot="1">
      <c r="B17" s="27" t="s">
        <v>160</v>
      </c>
      <c r="C17" s="34">
        <f>C6-C16</f>
        <v>840000</v>
      </c>
    </row>
    <row r="18" spans="2:3" ht="13.5" thickBot="1">
      <c r="B18" s="26" t="s">
        <v>161</v>
      </c>
      <c r="C18" s="39">
        <v>0.05</v>
      </c>
    </row>
    <row r="19" spans="2:3" ht="13.5" thickBot="1">
      <c r="B19" s="27" t="s">
        <v>162</v>
      </c>
      <c r="C19" s="34">
        <f>C18*C17</f>
        <v>42000</v>
      </c>
    </row>
    <row r="20" spans="2:3" ht="13.5" thickBot="1">
      <c r="B20" s="27" t="s">
        <v>119</v>
      </c>
      <c r="C20" s="34">
        <f>C9+C14+C19</f>
        <v>128000</v>
      </c>
    </row>
    <row r="21" spans="2:3" ht="13.5" thickBot="1">
      <c r="B21" s="26" t="s">
        <v>163</v>
      </c>
      <c r="C21" s="33">
        <v>0.1</v>
      </c>
    </row>
    <row r="22" spans="2:3" ht="13.5" thickBot="1">
      <c r="B22" s="29" t="s">
        <v>164</v>
      </c>
      <c r="C22" s="40">
        <f>C21*C6</f>
        <v>100000</v>
      </c>
    </row>
    <row r="23" spans="2:3" ht="13.5" thickBot="1">
      <c r="B23" s="29" t="s">
        <v>165</v>
      </c>
      <c r="C23" s="41">
        <f>(IF(($C$20)&gt;$C$22,$C$22,$C$20))</f>
        <v>100000</v>
      </c>
    </row>
    <row r="24" spans="2:3" ht="13.5" thickBot="1">
      <c r="B24" s="30" t="s">
        <v>167</v>
      </c>
      <c r="C24" s="42">
        <f>C23/C6</f>
        <v>0.1</v>
      </c>
    </row>
    <row r="25" spans="2:3" ht="13.5" thickBot="1">
      <c r="B25" s="30" t="s">
        <v>117</v>
      </c>
      <c r="C25" s="42">
        <v>0.0015</v>
      </c>
    </row>
    <row r="26" spans="2:3" ht="13.5" thickBot="1">
      <c r="B26" s="30" t="s">
        <v>168</v>
      </c>
      <c r="C26" s="43">
        <f>C25*C5</f>
        <v>3000</v>
      </c>
    </row>
    <row r="27" spans="2:3" ht="13.5" thickBot="1">
      <c r="B27" s="30" t="s">
        <v>120</v>
      </c>
      <c r="C27" s="42">
        <f>C26/C6</f>
        <v>0.003</v>
      </c>
    </row>
    <row r="28" spans="2:3" ht="13.5" thickBot="1">
      <c r="B28" s="30" t="s">
        <v>169</v>
      </c>
      <c r="C28" s="42">
        <f>C24+C27</f>
        <v>0.10300000000000001</v>
      </c>
    </row>
    <row r="30" ht="11.25">
      <c r="C30" s="7"/>
    </row>
  </sheetData>
  <mergeCells count="2">
    <mergeCell ref="B3:C3"/>
    <mergeCell ref="B4:C4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12" defaultRowHeight="11.25"/>
  <cols>
    <col min="2" max="2" width="96.5" style="0" customWidth="1"/>
    <col min="3" max="3" width="15.5" style="0" customWidth="1"/>
    <col min="4" max="4" width="22.83203125" style="0" customWidth="1"/>
    <col min="5" max="5" width="15.33203125" style="0" customWidth="1"/>
  </cols>
  <sheetData>
    <row r="1" ht="11.25">
      <c r="A1" s="142" t="s">
        <v>322</v>
      </c>
    </row>
    <row r="3" ht="12" thickBot="1"/>
    <row r="4" spans="2:3" ht="13.5" thickBot="1">
      <c r="B4" s="265" t="s">
        <v>422</v>
      </c>
      <c r="C4" s="266"/>
    </row>
    <row r="5" spans="2:3" ht="13.5" thickBot="1">
      <c r="B5" s="267" t="s">
        <v>171</v>
      </c>
      <c r="C5" s="268"/>
    </row>
    <row r="6" spans="2:3" ht="13.5" thickBot="1">
      <c r="B6" s="22" t="s">
        <v>33</v>
      </c>
      <c r="C6" s="103">
        <v>2000000</v>
      </c>
    </row>
    <row r="7" spans="2:3" ht="13.5" thickBot="1">
      <c r="B7" s="22" t="s">
        <v>34</v>
      </c>
      <c r="C7" s="103">
        <v>1000000</v>
      </c>
    </row>
    <row r="8" spans="2:3" ht="23.25" customHeight="1" thickBot="1">
      <c r="B8" s="23" t="s">
        <v>35</v>
      </c>
      <c r="C8" s="104">
        <f>C7/C6</f>
        <v>0.5</v>
      </c>
    </row>
    <row r="9" spans="2:3" ht="23.25" customHeight="1" thickBot="1">
      <c r="B9" s="24" t="s">
        <v>36</v>
      </c>
      <c r="C9" s="105">
        <v>0.04</v>
      </c>
    </row>
    <row r="10" spans="2:3" ht="13.5" thickBot="1">
      <c r="B10" s="25" t="s">
        <v>191</v>
      </c>
      <c r="C10" s="106">
        <f>C9*C7</f>
        <v>40000</v>
      </c>
    </row>
    <row r="11" spans="2:3" ht="13.5" thickBot="1">
      <c r="B11" s="22" t="s">
        <v>153</v>
      </c>
      <c r="C11" s="107">
        <v>0.04</v>
      </c>
    </row>
    <row r="12" spans="2:3" ht="13.5" thickBot="1">
      <c r="B12" s="22" t="s">
        <v>154</v>
      </c>
      <c r="C12" s="103">
        <f>C11*C6</f>
        <v>80000</v>
      </c>
    </row>
    <row r="13" spans="2:3" ht="13.5" thickBot="1">
      <c r="B13" s="22" t="s">
        <v>155</v>
      </c>
      <c r="C13" s="103">
        <f>C7-C12</f>
        <v>920000</v>
      </c>
    </row>
    <row r="14" spans="2:3" ht="13.5" thickBot="1">
      <c r="B14" s="26" t="s">
        <v>156</v>
      </c>
      <c r="C14" s="105">
        <v>0.05</v>
      </c>
    </row>
    <row r="15" spans="2:3" ht="13.5" thickBot="1">
      <c r="B15" s="27" t="s">
        <v>192</v>
      </c>
      <c r="C15" s="106">
        <f>C14*C13</f>
        <v>46000</v>
      </c>
    </row>
    <row r="16" spans="2:3" ht="13.5" thickBot="1">
      <c r="B16" s="28" t="s">
        <v>158</v>
      </c>
      <c r="C16" s="108">
        <v>0.04</v>
      </c>
    </row>
    <row r="17" spans="2:3" ht="13.5" thickBot="1">
      <c r="B17" s="22" t="s">
        <v>159</v>
      </c>
      <c r="C17" s="109">
        <f>C16*C6</f>
        <v>80000</v>
      </c>
    </row>
    <row r="18" spans="2:3" ht="13.5" thickBot="1">
      <c r="B18" s="22" t="s">
        <v>193</v>
      </c>
      <c r="C18" s="103">
        <f>C13-C17</f>
        <v>840000</v>
      </c>
    </row>
    <row r="19" spans="2:3" ht="13.5" thickBot="1">
      <c r="B19" s="26" t="s">
        <v>161</v>
      </c>
      <c r="C19" s="105">
        <v>0.05</v>
      </c>
    </row>
    <row r="20" spans="2:3" ht="13.5" thickBot="1">
      <c r="B20" s="27" t="s">
        <v>194</v>
      </c>
      <c r="C20" s="106">
        <f>C19*C18</f>
        <v>42000</v>
      </c>
    </row>
    <row r="21" spans="2:3" ht="13.5" thickBot="1">
      <c r="B21" s="27" t="s">
        <v>195</v>
      </c>
      <c r="C21" s="106">
        <f>C10+C15+C20</f>
        <v>128000</v>
      </c>
    </row>
    <row r="22" spans="2:3" ht="13.5" thickBot="1">
      <c r="B22" s="26" t="s">
        <v>163</v>
      </c>
      <c r="C22" s="105">
        <v>0.1</v>
      </c>
    </row>
    <row r="23" spans="2:3" ht="13.5" thickBot="1">
      <c r="B23" s="29" t="s">
        <v>164</v>
      </c>
      <c r="C23" s="110">
        <f>C7*C22</f>
        <v>100000</v>
      </c>
    </row>
    <row r="24" spans="2:5" ht="16.5" thickBot="1">
      <c r="B24" s="29" t="s">
        <v>165</v>
      </c>
      <c r="C24" s="111">
        <f>(IF(($C$21)&gt;$C$23,$C$23,$C$21))</f>
        <v>100000</v>
      </c>
      <c r="D24" s="112"/>
      <c r="E24" s="112"/>
    </row>
    <row r="25" spans="2:3" ht="13.5" thickBot="1">
      <c r="B25" s="30" t="s">
        <v>167</v>
      </c>
      <c r="C25" s="42">
        <f>C24/C7</f>
        <v>0.1</v>
      </c>
    </row>
    <row r="26" spans="2:3" ht="13.5" thickBot="1">
      <c r="B26" s="30" t="s">
        <v>117</v>
      </c>
      <c r="C26" s="42">
        <v>0.0015</v>
      </c>
    </row>
    <row r="27" spans="2:3" ht="13.5" thickBot="1">
      <c r="B27" s="30" t="s">
        <v>168</v>
      </c>
      <c r="C27" s="43">
        <f>C26*C6</f>
        <v>3000</v>
      </c>
    </row>
    <row r="28" spans="2:3" ht="13.5" thickBot="1">
      <c r="B28" s="30" t="s">
        <v>120</v>
      </c>
      <c r="C28" s="42">
        <f>C27/C7</f>
        <v>0.003</v>
      </c>
    </row>
    <row r="29" spans="2:3" ht="13.5" thickBot="1">
      <c r="B29" s="30" t="s">
        <v>169</v>
      </c>
      <c r="C29" s="42">
        <f>C25+C28</f>
        <v>0.10300000000000001</v>
      </c>
    </row>
  </sheetData>
  <mergeCells count="2">
    <mergeCell ref="B4:C4"/>
    <mergeCell ref="B5:C5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12" defaultRowHeight="11.25"/>
  <cols>
    <col min="1" max="1" width="2.83203125" style="0" customWidth="1"/>
    <col min="2" max="2" width="122.5" style="0" customWidth="1"/>
    <col min="3" max="3" width="15" style="0" customWidth="1"/>
  </cols>
  <sheetData>
    <row r="1" ht="11.25">
      <c r="A1" s="142" t="s">
        <v>322</v>
      </c>
    </row>
    <row r="2" ht="12" thickBot="1">
      <c r="C2" s="9"/>
    </row>
    <row r="3" spans="2:3" ht="13.5" thickBot="1">
      <c r="B3" s="265" t="s">
        <v>423</v>
      </c>
      <c r="C3" s="266"/>
    </row>
    <row r="4" spans="2:3" ht="13.5" thickBot="1">
      <c r="B4" s="267" t="s">
        <v>305</v>
      </c>
      <c r="C4" s="268"/>
    </row>
    <row r="5" spans="2:3" ht="13.5" thickBot="1">
      <c r="B5" s="22" t="s">
        <v>33</v>
      </c>
      <c r="C5" s="31">
        <v>2000000</v>
      </c>
    </row>
    <row r="6" spans="2:3" ht="13.5" thickBot="1">
      <c r="B6" s="22" t="s">
        <v>34</v>
      </c>
      <c r="C6" s="31">
        <v>1000000</v>
      </c>
    </row>
    <row r="7" spans="2:3" ht="13.5" thickBot="1">
      <c r="B7" s="23" t="s">
        <v>35</v>
      </c>
      <c r="C7" s="32">
        <f>C6/C5</f>
        <v>0.5</v>
      </c>
    </row>
    <row r="8" spans="2:5" ht="13.5" thickBot="1">
      <c r="B8" s="24" t="s">
        <v>36</v>
      </c>
      <c r="C8" s="33">
        <v>0.033</v>
      </c>
      <c r="E8" s="10"/>
    </row>
    <row r="9" spans="2:3" ht="13.5" thickBot="1">
      <c r="B9" s="25" t="s">
        <v>37</v>
      </c>
      <c r="C9" s="34">
        <f>C8*C6</f>
        <v>33000</v>
      </c>
    </row>
    <row r="10" spans="2:3" ht="13.5" thickBot="1">
      <c r="B10" s="22" t="s">
        <v>153</v>
      </c>
      <c r="C10" s="35">
        <v>0.04</v>
      </c>
    </row>
    <row r="11" spans="2:3" ht="13.5" thickBot="1">
      <c r="B11" s="22" t="s">
        <v>154</v>
      </c>
      <c r="C11" s="31">
        <f>C10*C5</f>
        <v>80000</v>
      </c>
    </row>
    <row r="12" spans="2:5" ht="13.5" thickBot="1">
      <c r="B12" s="22" t="s">
        <v>155</v>
      </c>
      <c r="C12" s="31">
        <f>C6-C11</f>
        <v>920000</v>
      </c>
      <c r="E12" s="10"/>
    </row>
    <row r="13" spans="2:5" ht="13.5" thickBot="1">
      <c r="B13" s="26" t="s">
        <v>156</v>
      </c>
      <c r="C13" s="36">
        <v>0.033</v>
      </c>
      <c r="E13" s="10"/>
    </row>
    <row r="14" spans="2:3" ht="13.5" thickBot="1">
      <c r="B14" s="27" t="s">
        <v>157</v>
      </c>
      <c r="C14" s="34">
        <f>C13*C12</f>
        <v>30360</v>
      </c>
    </row>
    <row r="15" spans="2:3" ht="13.5" thickBot="1">
      <c r="B15" s="28" t="s">
        <v>158</v>
      </c>
      <c r="C15" s="37">
        <v>0.08</v>
      </c>
    </row>
    <row r="16" spans="1:3" ht="13.5" thickBot="1">
      <c r="A16" s="11"/>
      <c r="B16" s="22" t="s">
        <v>159</v>
      </c>
      <c r="C16" s="38">
        <f>C15*C5</f>
        <v>160000</v>
      </c>
    </row>
    <row r="17" spans="2:3" ht="13.5" thickBot="1">
      <c r="B17" s="27" t="s">
        <v>160</v>
      </c>
      <c r="C17" s="34">
        <f>C6-C16</f>
        <v>840000</v>
      </c>
    </row>
    <row r="18" spans="2:3" ht="13.5" thickBot="1">
      <c r="B18" s="26" t="s">
        <v>161</v>
      </c>
      <c r="C18" s="39">
        <v>0.044</v>
      </c>
    </row>
    <row r="19" spans="2:3" ht="13.5" thickBot="1">
      <c r="B19" s="27" t="s">
        <v>162</v>
      </c>
      <c r="C19" s="34">
        <f>C18*C17</f>
        <v>36960</v>
      </c>
    </row>
    <row r="20" spans="2:3" ht="13.5" thickBot="1">
      <c r="B20" s="27" t="s">
        <v>119</v>
      </c>
      <c r="C20" s="34">
        <f>C9+C14+C19</f>
        <v>100320</v>
      </c>
    </row>
    <row r="21" spans="2:3" ht="13.5" thickBot="1">
      <c r="B21" s="26" t="s">
        <v>163</v>
      </c>
      <c r="C21" s="33">
        <v>0.098</v>
      </c>
    </row>
    <row r="22" spans="2:3" ht="13.5" thickBot="1">
      <c r="B22" s="29" t="s">
        <v>164</v>
      </c>
      <c r="C22" s="40">
        <f>C21*C6</f>
        <v>98000</v>
      </c>
    </row>
    <row r="23" spans="2:3" ht="13.5" thickBot="1">
      <c r="B23" s="29" t="s">
        <v>165</v>
      </c>
      <c r="C23" s="41">
        <f>(IF(($C$20)&gt;$C$22,$C$22,$C$20))</f>
        <v>98000</v>
      </c>
    </row>
    <row r="24" spans="2:3" ht="13.5" thickBot="1">
      <c r="B24" s="30" t="s">
        <v>167</v>
      </c>
      <c r="C24" s="42">
        <f>C23/C6</f>
        <v>0.098</v>
      </c>
    </row>
    <row r="25" spans="2:3" ht="13.5" thickBot="1">
      <c r="B25" s="30" t="s">
        <v>306</v>
      </c>
      <c r="C25" s="42">
        <v>0.000825</v>
      </c>
    </row>
    <row r="26" spans="2:3" ht="13.5" thickBot="1">
      <c r="B26" s="30" t="s">
        <v>168</v>
      </c>
      <c r="C26" s="43">
        <f>C25*C5</f>
        <v>1650</v>
      </c>
    </row>
    <row r="27" spans="2:3" ht="13.5" thickBot="1">
      <c r="B27" s="30" t="s">
        <v>120</v>
      </c>
      <c r="C27" s="42">
        <f>C26/C6</f>
        <v>0.00165</v>
      </c>
    </row>
    <row r="28" spans="2:3" ht="13.5" thickBot="1">
      <c r="B28" s="30" t="s">
        <v>169</v>
      </c>
      <c r="C28" s="42">
        <f>C24+C27</f>
        <v>0.09965</v>
      </c>
    </row>
    <row r="30" ht="11.25">
      <c r="C30" s="7"/>
    </row>
  </sheetData>
  <mergeCells count="2">
    <mergeCell ref="B3:C3"/>
    <mergeCell ref="B4:C4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22" sqref="A22"/>
    </sheetView>
  </sheetViews>
  <sheetFormatPr defaultColWidth="12" defaultRowHeight="11.25"/>
  <cols>
    <col min="2" max="2" width="102.5" style="0" customWidth="1"/>
    <col min="3" max="3" width="15.5" style="0" customWidth="1"/>
    <col min="4" max="4" width="22.83203125" style="0" customWidth="1"/>
    <col min="5" max="5" width="15.33203125" style="0" customWidth="1"/>
  </cols>
  <sheetData>
    <row r="1" ht="11.25">
      <c r="A1" s="142" t="s">
        <v>322</v>
      </c>
    </row>
    <row r="3" ht="12" thickBot="1"/>
    <row r="4" spans="2:3" ht="13.5" thickBot="1">
      <c r="B4" s="265" t="s">
        <v>424</v>
      </c>
      <c r="C4" s="266"/>
    </row>
    <row r="5" spans="2:3" ht="13.5" thickBot="1">
      <c r="B5" s="267" t="s">
        <v>305</v>
      </c>
      <c r="C5" s="268"/>
    </row>
    <row r="6" spans="2:3" ht="13.5" thickBot="1">
      <c r="B6" s="22" t="s">
        <v>33</v>
      </c>
      <c r="C6" s="22">
        <v>2000000</v>
      </c>
    </row>
    <row r="7" spans="2:3" ht="13.5" thickBot="1">
      <c r="B7" s="22" t="s">
        <v>34</v>
      </c>
      <c r="C7" s="22">
        <v>1000000</v>
      </c>
    </row>
    <row r="8" spans="2:3" ht="23.25" customHeight="1" thickBot="1">
      <c r="B8" s="23" t="s">
        <v>35</v>
      </c>
      <c r="C8" s="158">
        <f>C7/C6</f>
        <v>0.5</v>
      </c>
    </row>
    <row r="9" spans="2:3" ht="23.25" customHeight="1" thickBot="1">
      <c r="B9" s="24" t="s">
        <v>36</v>
      </c>
      <c r="C9" s="159">
        <v>0.033</v>
      </c>
    </row>
    <row r="10" spans="2:3" ht="13.5" thickBot="1">
      <c r="B10" s="25" t="s">
        <v>191</v>
      </c>
      <c r="C10" s="27">
        <f>C9*C7</f>
        <v>33000</v>
      </c>
    </row>
    <row r="11" spans="2:3" ht="13.5" thickBot="1">
      <c r="B11" s="22" t="s">
        <v>153</v>
      </c>
      <c r="C11" s="160">
        <v>0.04</v>
      </c>
    </row>
    <row r="12" spans="2:3" ht="13.5" thickBot="1">
      <c r="B12" s="22" t="s">
        <v>154</v>
      </c>
      <c r="C12" s="22">
        <f>C11*C6</f>
        <v>80000</v>
      </c>
    </row>
    <row r="13" spans="2:3" ht="13.5" thickBot="1">
      <c r="B13" s="22" t="s">
        <v>155</v>
      </c>
      <c r="C13" s="22">
        <f>C7-C12</f>
        <v>920000</v>
      </c>
    </row>
    <row r="14" spans="2:3" ht="13.5" thickBot="1">
      <c r="B14" s="26" t="s">
        <v>156</v>
      </c>
      <c r="C14" s="159">
        <v>0.033</v>
      </c>
    </row>
    <row r="15" spans="2:3" ht="13.5" thickBot="1">
      <c r="B15" s="27" t="s">
        <v>192</v>
      </c>
      <c r="C15" s="27">
        <f>C14*C13</f>
        <v>30360</v>
      </c>
    </row>
    <row r="16" spans="2:3" ht="13.5" thickBot="1">
      <c r="B16" s="28" t="s">
        <v>158</v>
      </c>
      <c r="C16" s="161">
        <v>0.04</v>
      </c>
    </row>
    <row r="17" spans="2:3" ht="13.5" thickBot="1">
      <c r="B17" s="22" t="s">
        <v>159</v>
      </c>
      <c r="C17" s="38">
        <f>C16*C6</f>
        <v>80000</v>
      </c>
    </row>
    <row r="18" spans="2:3" ht="13.5" thickBot="1">
      <c r="B18" s="22" t="s">
        <v>193</v>
      </c>
      <c r="C18" s="22">
        <f>C13-C17</f>
        <v>840000</v>
      </c>
    </row>
    <row r="19" spans="2:3" ht="13.5" thickBot="1">
      <c r="B19" s="26" t="s">
        <v>161</v>
      </c>
      <c r="C19" s="159">
        <v>0.044</v>
      </c>
    </row>
    <row r="20" spans="2:3" ht="13.5" thickBot="1">
      <c r="B20" s="27" t="s">
        <v>194</v>
      </c>
      <c r="C20" s="27">
        <f>C19*C18</f>
        <v>36960</v>
      </c>
    </row>
    <row r="21" spans="2:3" ht="13.5" thickBot="1">
      <c r="B21" s="27" t="s">
        <v>195</v>
      </c>
      <c r="C21" s="27">
        <f>C10+C15+C20</f>
        <v>100320</v>
      </c>
    </row>
    <row r="22" spans="2:3" ht="13.5" thickBot="1">
      <c r="B22" s="26" t="s">
        <v>163</v>
      </c>
      <c r="C22" s="159">
        <v>0.098</v>
      </c>
    </row>
    <row r="23" spans="2:3" ht="13.5" thickBot="1">
      <c r="B23" s="29" t="s">
        <v>164</v>
      </c>
      <c r="C23" s="29">
        <f>C7*C22</f>
        <v>98000</v>
      </c>
    </row>
    <row r="24" spans="2:5" ht="16.5" thickBot="1">
      <c r="B24" s="29" t="s">
        <v>165</v>
      </c>
      <c r="C24" s="41">
        <f>(IF(($C$21)&gt;$C$23,$C$23,$C$21))</f>
        <v>98000</v>
      </c>
      <c r="D24" s="112"/>
      <c r="E24" s="112"/>
    </row>
    <row r="25" spans="2:3" ht="13.5" thickBot="1">
      <c r="B25" s="30" t="s">
        <v>167</v>
      </c>
      <c r="C25" s="162">
        <f>C24/C7</f>
        <v>0.098</v>
      </c>
    </row>
    <row r="26" spans="2:3" ht="13.5" thickBot="1">
      <c r="B26" s="30" t="s">
        <v>306</v>
      </c>
      <c r="C26" s="157">
        <v>0.000825</v>
      </c>
    </row>
    <row r="27" spans="2:3" ht="13.5" thickBot="1">
      <c r="B27" s="30" t="s">
        <v>168</v>
      </c>
      <c r="C27" s="43">
        <f>C26*C6</f>
        <v>1650</v>
      </c>
    </row>
    <row r="28" spans="2:3" ht="13.5" thickBot="1">
      <c r="B28" s="30" t="s">
        <v>120</v>
      </c>
      <c r="C28" s="42">
        <f>C27/C7</f>
        <v>0.00165</v>
      </c>
    </row>
    <row r="29" spans="2:3" ht="13.5" thickBot="1">
      <c r="B29" s="30" t="s">
        <v>169</v>
      </c>
      <c r="C29" s="42">
        <f>C25+C28</f>
        <v>0.09965</v>
      </c>
    </row>
  </sheetData>
  <mergeCells count="2">
    <mergeCell ref="B4:C4"/>
    <mergeCell ref="B5:C5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H1">
      <selection activeCell="Q1" sqref="Q1:Q16384"/>
    </sheetView>
  </sheetViews>
  <sheetFormatPr defaultColWidth="12" defaultRowHeight="11.25"/>
  <cols>
    <col min="2" max="2" width="62.66015625" style="0" customWidth="1"/>
    <col min="3" max="3" width="39.33203125" style="0" customWidth="1"/>
    <col min="4" max="4" width="17" style="0" customWidth="1"/>
    <col min="5" max="5" width="20.5" style="0" bestFit="1" customWidth="1"/>
  </cols>
  <sheetData>
    <row r="1" ht="11.25">
      <c r="A1" s="142" t="s">
        <v>322</v>
      </c>
    </row>
    <row r="3" ht="10.5" customHeight="1" thickBot="1"/>
    <row r="4" spans="2:16" ht="56.25" customHeight="1" thickBot="1">
      <c r="B4" s="6" t="s">
        <v>425</v>
      </c>
      <c r="C4" s="116" t="s">
        <v>172</v>
      </c>
      <c r="D4" s="1">
        <v>1991</v>
      </c>
      <c r="E4" s="1">
        <f>D4+1</f>
        <v>1992</v>
      </c>
      <c r="F4" s="1">
        <f aca="true" t="shared" si="0" ref="F4:L4">E4+1</f>
        <v>1993</v>
      </c>
      <c r="G4" s="1">
        <f t="shared" si="0"/>
        <v>1994</v>
      </c>
      <c r="H4" s="1">
        <f t="shared" si="0"/>
        <v>1995</v>
      </c>
      <c r="I4" s="1">
        <f t="shared" si="0"/>
        <v>1996</v>
      </c>
      <c r="J4" s="1">
        <f t="shared" si="0"/>
        <v>1997</v>
      </c>
      <c r="K4" s="1">
        <f t="shared" si="0"/>
        <v>1998</v>
      </c>
      <c r="L4" s="1">
        <f t="shared" si="0"/>
        <v>1999</v>
      </c>
      <c r="M4" s="1">
        <f>L4+1</f>
        <v>2000</v>
      </c>
      <c r="N4" s="1">
        <f>M4+1</f>
        <v>2001</v>
      </c>
      <c r="O4" s="1">
        <f>N4+1</f>
        <v>2002</v>
      </c>
      <c r="P4" s="1">
        <f>O4+1</f>
        <v>2003</v>
      </c>
    </row>
    <row r="5" spans="2:16" ht="50.25" customHeight="1" thickBot="1">
      <c r="B5" s="47" t="s">
        <v>345</v>
      </c>
      <c r="C5" s="168" t="s">
        <v>346</v>
      </c>
      <c r="D5" s="3">
        <f>'3_Synthèse calcul taux_et cfis'!$E$26</f>
        <v>0.283556</v>
      </c>
      <c r="E5" s="3">
        <f>'3_Synthèse calcul taux_et cfis'!F26</f>
        <v>0.28675</v>
      </c>
      <c r="F5" s="3">
        <f>'3_Synthèse calcul taux_et cfis'!G26</f>
        <v>0.291217</v>
      </c>
      <c r="G5" s="3">
        <f>'3_Synthèse calcul taux_et cfis'!H26</f>
        <v>0.291217</v>
      </c>
      <c r="H5" s="3">
        <f>'3_Synthèse calcul taux_et cfis'!I26</f>
        <v>0.291202</v>
      </c>
      <c r="I5" s="3">
        <f>'3_Synthèse calcul taux_et cfis'!J26</f>
        <v>0.291202</v>
      </c>
      <c r="J5" s="3">
        <f>'3_Synthèse calcul taux_et cfis'!K26</f>
        <v>0.291211</v>
      </c>
      <c r="K5" s="3">
        <f>'3_Synthèse calcul taux_et cfis'!L26</f>
        <v>0.2834</v>
      </c>
      <c r="L5" s="3">
        <f>'3_Synthèse calcul taux_et cfis'!M26</f>
        <v>0.256547</v>
      </c>
      <c r="M5" s="3">
        <f>'3_Synthèse calcul taux_et cfis'!N26</f>
        <v>0.254824</v>
      </c>
      <c r="N5" s="3">
        <f>'3_Synthèse calcul taux_et cfis'!O26</f>
        <v>0.252477</v>
      </c>
      <c r="O5" s="3">
        <f>'3_Synthèse calcul taux_et cfis'!P26</f>
        <v>0.249535</v>
      </c>
      <c r="P5" s="3">
        <f>'3_Synthèse calcul taux_et cfis'!Q26</f>
        <v>0.24629</v>
      </c>
    </row>
    <row r="6" spans="2:16" ht="29.25" customHeight="1" thickBot="1">
      <c r="B6" s="50" t="s">
        <v>347</v>
      </c>
      <c r="C6" s="72" t="s">
        <v>29</v>
      </c>
      <c r="D6" s="63">
        <v>1000000</v>
      </c>
      <c r="E6" s="63">
        <v>1000000</v>
      </c>
      <c r="F6" s="63">
        <v>1000000</v>
      </c>
      <c r="G6" s="63">
        <v>1000000</v>
      </c>
      <c r="H6" s="63">
        <v>1000000</v>
      </c>
      <c r="I6" s="63">
        <v>1000000</v>
      </c>
      <c r="J6" s="63">
        <v>1000000</v>
      </c>
      <c r="K6" s="63">
        <v>1000000</v>
      </c>
      <c r="L6" s="63">
        <v>1000000</v>
      </c>
      <c r="M6" s="63">
        <v>1000000</v>
      </c>
      <c r="N6" s="63">
        <v>1000000</v>
      </c>
      <c r="O6" s="63">
        <v>1000000</v>
      </c>
      <c r="P6" s="63">
        <v>1000000</v>
      </c>
    </row>
    <row r="7" spans="2:16" ht="29.25" customHeight="1" thickBot="1">
      <c r="B7" s="50" t="s">
        <v>348</v>
      </c>
      <c r="C7" s="72" t="s">
        <v>30</v>
      </c>
      <c r="D7" s="63">
        <v>2000000</v>
      </c>
      <c r="E7" s="63">
        <v>2000000</v>
      </c>
      <c r="F7" s="63">
        <v>2000000</v>
      </c>
      <c r="G7" s="63">
        <v>2000000</v>
      </c>
      <c r="H7" s="63">
        <v>2000000</v>
      </c>
      <c r="I7" s="63">
        <v>2000000</v>
      </c>
      <c r="J7" s="63">
        <v>2000000</v>
      </c>
      <c r="K7" s="63">
        <v>2000000</v>
      </c>
      <c r="L7" s="63">
        <v>2000000</v>
      </c>
      <c r="M7" s="63">
        <v>2000000</v>
      </c>
      <c r="N7" s="63">
        <v>2000000</v>
      </c>
      <c r="O7" s="63">
        <v>2000000</v>
      </c>
      <c r="P7" s="63">
        <v>2000000</v>
      </c>
    </row>
    <row r="8" spans="2:16" ht="29.25" customHeight="1" thickBot="1">
      <c r="B8" s="73" t="s">
        <v>349</v>
      </c>
      <c r="C8" s="74" t="s">
        <v>61</v>
      </c>
      <c r="D8" s="64">
        <f aca="true" t="shared" si="1" ref="D8:P8">D6/D7</f>
        <v>0.5</v>
      </c>
      <c r="E8" s="64">
        <f t="shared" si="1"/>
        <v>0.5</v>
      </c>
      <c r="F8" s="64">
        <f t="shared" si="1"/>
        <v>0.5</v>
      </c>
      <c r="G8" s="64">
        <f t="shared" si="1"/>
        <v>0.5</v>
      </c>
      <c r="H8" s="64">
        <f t="shared" si="1"/>
        <v>0.5</v>
      </c>
      <c r="I8" s="64">
        <f t="shared" si="1"/>
        <v>0.5</v>
      </c>
      <c r="J8" s="64">
        <f t="shared" si="1"/>
        <v>0.5</v>
      </c>
      <c r="K8" s="64">
        <f t="shared" si="1"/>
        <v>0.5</v>
      </c>
      <c r="L8" s="64">
        <f t="shared" si="1"/>
        <v>0.5</v>
      </c>
      <c r="M8" s="64">
        <f t="shared" si="1"/>
        <v>0.5</v>
      </c>
      <c r="N8" s="64">
        <f t="shared" si="1"/>
        <v>0.5</v>
      </c>
      <c r="O8" s="64">
        <f t="shared" si="1"/>
        <v>0.5</v>
      </c>
      <c r="P8" s="64">
        <f t="shared" si="1"/>
        <v>0.5</v>
      </c>
    </row>
    <row r="9" spans="2:16" ht="29.25" customHeight="1" thickBot="1">
      <c r="B9" s="73" t="s">
        <v>350</v>
      </c>
      <c r="C9" s="74" t="s">
        <v>63</v>
      </c>
      <c r="D9" s="65">
        <f aca="true" t="shared" si="2" ref="D9:P9">1/D8</f>
        <v>2</v>
      </c>
      <c r="E9" s="65">
        <f t="shared" si="2"/>
        <v>2</v>
      </c>
      <c r="F9" s="65">
        <f t="shared" si="2"/>
        <v>2</v>
      </c>
      <c r="G9" s="65">
        <f t="shared" si="2"/>
        <v>2</v>
      </c>
      <c r="H9" s="65">
        <f t="shared" si="2"/>
        <v>2</v>
      </c>
      <c r="I9" s="65">
        <f t="shared" si="2"/>
        <v>2</v>
      </c>
      <c r="J9" s="65">
        <f t="shared" si="2"/>
        <v>2</v>
      </c>
      <c r="K9" s="65">
        <f t="shared" si="2"/>
        <v>2</v>
      </c>
      <c r="L9" s="65">
        <f t="shared" si="2"/>
        <v>2</v>
      </c>
      <c r="M9" s="65">
        <f t="shared" si="2"/>
        <v>2</v>
      </c>
      <c r="N9" s="65">
        <f t="shared" si="2"/>
        <v>2</v>
      </c>
      <c r="O9" s="65">
        <f t="shared" si="2"/>
        <v>2</v>
      </c>
      <c r="P9" s="65">
        <f t="shared" si="2"/>
        <v>2</v>
      </c>
    </row>
    <row r="10" spans="2:16" ht="29.25" customHeight="1" thickBot="1">
      <c r="B10" s="47" t="s">
        <v>351</v>
      </c>
      <c r="C10" s="75" t="s">
        <v>166</v>
      </c>
      <c r="D10" s="8">
        <f>'13_Multiplicateurs '!D7</f>
        <v>2.3794</v>
      </c>
      <c r="E10" s="8">
        <f>'13_Multiplicateurs '!E7</f>
        <v>2.4294000000000002</v>
      </c>
      <c r="F10" s="8">
        <f>'13_Multiplicateurs '!F7</f>
        <v>2.4996</v>
      </c>
      <c r="G10" s="8">
        <f>'13_Multiplicateurs '!G7</f>
        <v>2.4996</v>
      </c>
      <c r="H10" s="8">
        <f>'13_Multiplicateurs '!H7</f>
        <v>2.5</v>
      </c>
      <c r="I10" s="8">
        <f>'13_Multiplicateurs '!I7</f>
        <v>2.5</v>
      </c>
      <c r="J10" s="8">
        <f>'13_Multiplicateurs '!J7</f>
        <v>2.5</v>
      </c>
      <c r="K10" s="8">
        <f>'13_Multiplicateurs '!K7</f>
        <v>2.5000999999999998</v>
      </c>
      <c r="L10" s="8">
        <f>'13_Multiplicateurs '!L7</f>
        <v>2.5000999999999998</v>
      </c>
      <c r="M10" s="8">
        <f>'13_Multiplicateurs '!M7</f>
        <v>2.4701</v>
      </c>
      <c r="N10" s="8">
        <f>'13_Multiplicateurs '!N7</f>
        <v>2.4301</v>
      </c>
      <c r="O10" s="8">
        <f>'13_Multiplicateurs '!O7</f>
        <v>2.3802</v>
      </c>
      <c r="P10" s="8">
        <f>'13_Multiplicateurs '!P7</f>
        <v>2.3251999999999997</v>
      </c>
    </row>
    <row r="11" spans="2:16" ht="29.25" customHeight="1" thickBot="1">
      <c r="B11" s="12" t="s">
        <v>352</v>
      </c>
      <c r="C11" s="67" t="s">
        <v>127</v>
      </c>
      <c r="D11" s="169">
        <f>'12_tk_Taux nominal capital'!D7</f>
        <v>0.000825</v>
      </c>
      <c r="E11" s="169">
        <f>'12_tk_Taux nominal capital'!E7</f>
        <v>0.000825</v>
      </c>
      <c r="F11" s="169">
        <f>'12_tk_Taux nominal capital'!F7</f>
        <v>0.000825</v>
      </c>
      <c r="G11" s="169">
        <f>'12_tk_Taux nominal capital'!G7</f>
        <v>0.000825</v>
      </c>
      <c r="H11" s="169">
        <f>'12_tk_Taux nominal capital'!H7</f>
        <v>0.0008</v>
      </c>
      <c r="I11" s="169">
        <f>'12_tk_Taux nominal capital'!I7</f>
        <v>0.0008</v>
      </c>
      <c r="J11" s="169">
        <f>'12_tk_Taux nominal capital'!J7</f>
        <v>0.0008</v>
      </c>
      <c r="K11" s="169">
        <f>'12_tk_Taux nominal capital'!K7</f>
        <v>0</v>
      </c>
      <c r="L11" s="169">
        <f>'12_tk_Taux nominal capital'!L7</f>
        <v>0</v>
      </c>
      <c r="M11" s="169">
        <f>'12_tk_Taux nominal capital'!M7</f>
        <v>0</v>
      </c>
      <c r="N11" s="169">
        <f>'12_tk_Taux nominal capital'!N7</f>
        <v>0</v>
      </c>
      <c r="O11" s="169">
        <f>'12_tk_Taux nominal capital'!O7</f>
        <v>0</v>
      </c>
      <c r="P11" s="169">
        <f>'12_tk_Taux nominal capital'!P7</f>
        <v>0</v>
      </c>
    </row>
    <row r="12" spans="2:16" ht="29.25" customHeight="1" thickBot="1">
      <c r="B12" s="14" t="s">
        <v>353</v>
      </c>
      <c r="C12" s="67" t="s">
        <v>121</v>
      </c>
      <c r="D12" s="13">
        <f aca="true" t="shared" si="3" ref="D12:P12">D11*D9</f>
        <v>0.00165</v>
      </c>
      <c r="E12" s="13">
        <f t="shared" si="3"/>
        <v>0.00165</v>
      </c>
      <c r="F12" s="13">
        <f t="shared" si="3"/>
        <v>0.00165</v>
      </c>
      <c r="G12" s="13">
        <f t="shared" si="3"/>
        <v>0.00165</v>
      </c>
      <c r="H12" s="13">
        <f t="shared" si="3"/>
        <v>0.0016</v>
      </c>
      <c r="I12" s="13">
        <f t="shared" si="3"/>
        <v>0.0016</v>
      </c>
      <c r="J12" s="13">
        <f t="shared" si="3"/>
        <v>0.0016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  <c r="P12" s="13">
        <f t="shared" si="3"/>
        <v>0</v>
      </c>
    </row>
    <row r="13" spans="2:16" ht="29.25" customHeight="1" thickBot="1">
      <c r="B13" s="12" t="s">
        <v>354</v>
      </c>
      <c r="C13" s="77" t="s">
        <v>130</v>
      </c>
      <c r="D13" s="13">
        <f>'15_Données taux capital'!D5</f>
        <v>0.0015</v>
      </c>
      <c r="E13" s="13">
        <f>'15_Données taux capital'!E5</f>
        <v>0.0015</v>
      </c>
      <c r="F13" s="13">
        <f>'15_Données taux capital'!F5</f>
        <v>0.0015</v>
      </c>
      <c r="G13" s="13">
        <f>'15_Données taux capital'!G5</f>
        <v>0.0015</v>
      </c>
      <c r="H13" s="13">
        <f>'15_Données taux capital'!H5</f>
        <v>0.0015</v>
      </c>
      <c r="I13" s="13">
        <f>'15_Données taux capital'!I5</f>
        <v>0.0015</v>
      </c>
      <c r="J13" s="13">
        <f>'15_Données taux capital'!J5</f>
        <v>0.0015</v>
      </c>
      <c r="K13" s="13">
        <f>'15_Données taux capital'!K5</f>
        <v>0.0015</v>
      </c>
      <c r="L13" s="13">
        <f>'15_Données taux capital'!L5</f>
        <v>0.0015</v>
      </c>
      <c r="M13" s="13">
        <f>'15_Données taux capital'!M5</f>
        <v>0.0015</v>
      </c>
      <c r="N13" s="13">
        <f>'15_Données taux capital'!N5</f>
        <v>0.0015</v>
      </c>
      <c r="O13" s="13">
        <f>'15_Données taux capital'!O5</f>
        <v>0.0015</v>
      </c>
      <c r="P13" s="13">
        <f>'15_Données taux capital'!P5</f>
        <v>0.0015</v>
      </c>
    </row>
    <row r="14" spans="2:16" ht="29.25" customHeight="1" thickBot="1">
      <c r="B14" s="12" t="s">
        <v>355</v>
      </c>
      <c r="C14" s="86" t="s">
        <v>131</v>
      </c>
      <c r="D14" s="13">
        <f aca="true" t="shared" si="4" ref="D14:P14">D13*D10</f>
        <v>0.0035691</v>
      </c>
      <c r="E14" s="13">
        <f t="shared" si="4"/>
        <v>0.0036441000000000004</v>
      </c>
      <c r="F14" s="13">
        <f t="shared" si="4"/>
        <v>0.0037494</v>
      </c>
      <c r="G14" s="13">
        <f t="shared" si="4"/>
        <v>0.0037494</v>
      </c>
      <c r="H14" s="13">
        <f t="shared" si="4"/>
        <v>0.00375</v>
      </c>
      <c r="I14" s="13">
        <f t="shared" si="4"/>
        <v>0.00375</v>
      </c>
      <c r="J14" s="13">
        <f t="shared" si="4"/>
        <v>0.00375</v>
      </c>
      <c r="K14" s="13">
        <f t="shared" si="4"/>
        <v>0.00375015</v>
      </c>
      <c r="L14" s="13">
        <f t="shared" si="4"/>
        <v>0.00375015</v>
      </c>
      <c r="M14" s="13">
        <f t="shared" si="4"/>
        <v>0.00370515</v>
      </c>
      <c r="N14" s="13">
        <f t="shared" si="4"/>
        <v>0.0036451499999999998</v>
      </c>
      <c r="O14" s="13">
        <f t="shared" si="4"/>
        <v>0.0035702999999999998</v>
      </c>
      <c r="P14" s="13">
        <f t="shared" si="4"/>
        <v>0.0034877999999999997</v>
      </c>
    </row>
    <row r="15" spans="2:16" ht="29.25" customHeight="1" thickBot="1">
      <c r="B15" s="12" t="s">
        <v>356</v>
      </c>
      <c r="C15" s="67" t="s">
        <v>20</v>
      </c>
      <c r="D15" s="13">
        <f aca="true" t="shared" si="5" ref="D15:P15">D13*D9*D10</f>
        <v>0.0071382</v>
      </c>
      <c r="E15" s="13">
        <f t="shared" si="5"/>
        <v>0.007288200000000001</v>
      </c>
      <c r="F15" s="13">
        <f t="shared" si="5"/>
        <v>0.0074988</v>
      </c>
      <c r="G15" s="13">
        <f t="shared" si="5"/>
        <v>0.0074988</v>
      </c>
      <c r="H15" s="13">
        <f t="shared" si="5"/>
        <v>0.0075</v>
      </c>
      <c r="I15" s="13">
        <f t="shared" si="5"/>
        <v>0.0075</v>
      </c>
      <c r="J15" s="13">
        <f t="shared" si="5"/>
        <v>0.0075</v>
      </c>
      <c r="K15" s="13">
        <f t="shared" si="5"/>
        <v>0.0075003</v>
      </c>
      <c r="L15" s="13">
        <f t="shared" si="5"/>
        <v>0.0075003</v>
      </c>
      <c r="M15" s="13">
        <f t="shared" si="5"/>
        <v>0.0074103</v>
      </c>
      <c r="N15" s="13">
        <f t="shared" si="5"/>
        <v>0.0072902999999999996</v>
      </c>
      <c r="O15" s="13">
        <f t="shared" si="5"/>
        <v>0.0071405999999999996</v>
      </c>
      <c r="P15" s="13">
        <f t="shared" si="5"/>
        <v>0.006975599999999999</v>
      </c>
    </row>
    <row r="16" spans="2:16" ht="29.25" customHeight="1" thickBot="1">
      <c r="B16" s="61" t="s">
        <v>357</v>
      </c>
      <c r="C16" s="69" t="s">
        <v>21</v>
      </c>
      <c r="D16" s="68">
        <f aca="true" t="shared" si="6" ref="D16:P17">D11+D14</f>
        <v>0.0043941</v>
      </c>
      <c r="E16" s="68">
        <f t="shared" si="6"/>
        <v>0.0044691</v>
      </c>
      <c r="F16" s="68">
        <f t="shared" si="6"/>
        <v>0.0045744</v>
      </c>
      <c r="G16" s="68">
        <f t="shared" si="6"/>
        <v>0.0045744</v>
      </c>
      <c r="H16" s="68">
        <f t="shared" si="6"/>
        <v>0.00455</v>
      </c>
      <c r="I16" s="68">
        <f t="shared" si="6"/>
        <v>0.00455</v>
      </c>
      <c r="J16" s="68">
        <f t="shared" si="6"/>
        <v>0.00455</v>
      </c>
      <c r="K16" s="68">
        <f t="shared" si="6"/>
        <v>0.00375015</v>
      </c>
      <c r="L16" s="68">
        <f t="shared" si="6"/>
        <v>0.00375015</v>
      </c>
      <c r="M16" s="68">
        <f t="shared" si="6"/>
        <v>0.00370515</v>
      </c>
      <c r="N16" s="68">
        <f t="shared" si="6"/>
        <v>0.0036451499999999998</v>
      </c>
      <c r="O16" s="68">
        <f t="shared" si="6"/>
        <v>0.0035702999999999998</v>
      </c>
      <c r="P16" s="68">
        <f t="shared" si="6"/>
        <v>0.0034877999999999997</v>
      </c>
    </row>
    <row r="17" spans="2:16" ht="29.25" customHeight="1" thickBot="1">
      <c r="B17" s="61" t="s">
        <v>358</v>
      </c>
      <c r="C17" s="69" t="s">
        <v>123</v>
      </c>
      <c r="D17" s="68">
        <f t="shared" si="6"/>
        <v>0.0087882</v>
      </c>
      <c r="E17" s="68">
        <f t="shared" si="6"/>
        <v>0.0089382</v>
      </c>
      <c r="F17" s="68">
        <f t="shared" si="6"/>
        <v>0.0091488</v>
      </c>
      <c r="G17" s="68">
        <f t="shared" si="6"/>
        <v>0.0091488</v>
      </c>
      <c r="H17" s="68">
        <f t="shared" si="6"/>
        <v>0.0091</v>
      </c>
      <c r="I17" s="68">
        <f t="shared" si="6"/>
        <v>0.0091</v>
      </c>
      <c r="J17" s="68">
        <f t="shared" si="6"/>
        <v>0.0091</v>
      </c>
      <c r="K17" s="68">
        <f t="shared" si="6"/>
        <v>0.0075003</v>
      </c>
      <c r="L17" s="68">
        <f t="shared" si="6"/>
        <v>0.0075003</v>
      </c>
      <c r="M17" s="68">
        <f t="shared" si="6"/>
        <v>0.0074103</v>
      </c>
      <c r="N17" s="68">
        <f t="shared" si="6"/>
        <v>0.0072902999999999996</v>
      </c>
      <c r="O17" s="68">
        <f t="shared" si="6"/>
        <v>0.0071405999999999996</v>
      </c>
      <c r="P17" s="68">
        <f t="shared" si="6"/>
        <v>0.006975599999999999</v>
      </c>
    </row>
    <row r="18" spans="2:16" ht="29.25" customHeight="1" thickBot="1">
      <c r="B18" s="2" t="s">
        <v>359</v>
      </c>
      <c r="C18" s="48" t="s">
        <v>360</v>
      </c>
      <c r="D18" s="3">
        <f aca="true" t="shared" si="7" ref="D18:P18">(D5-D17)/(1-D5)</f>
        <v>0.3835160877891362</v>
      </c>
      <c r="E18" s="3">
        <f t="shared" si="7"/>
        <v>0.38950129688047674</v>
      </c>
      <c r="F18" s="3">
        <f t="shared" si="7"/>
        <v>0.3979612942183997</v>
      </c>
      <c r="G18" s="3">
        <f t="shared" si="7"/>
        <v>0.3979612942183997</v>
      </c>
      <c r="H18" s="3">
        <f t="shared" si="7"/>
        <v>0.39800055869232137</v>
      </c>
      <c r="I18" s="3">
        <f t="shared" si="7"/>
        <v>0.39800055869232137</v>
      </c>
      <c r="J18" s="3">
        <f t="shared" si="7"/>
        <v>0.398018310103571</v>
      </c>
      <c r="K18" s="3">
        <f t="shared" si="7"/>
        <v>0.38501214066424777</v>
      </c>
      <c r="L18" s="3">
        <f t="shared" si="7"/>
        <v>0.33498647527146985</v>
      </c>
      <c r="M18" s="3">
        <f t="shared" si="7"/>
        <v>0.33202048911934895</v>
      </c>
      <c r="N18" s="3">
        <f t="shared" si="7"/>
        <v>0.32799887093775043</v>
      </c>
      <c r="O18" s="3">
        <f t="shared" si="7"/>
        <v>0.3229922781208984</v>
      </c>
      <c r="P18" s="3">
        <f t="shared" si="7"/>
        <v>0.3175152246885407</v>
      </c>
    </row>
    <row r="19" spans="2:16" ht="29.25" customHeight="1" thickBot="1">
      <c r="B19" s="2" t="s">
        <v>361</v>
      </c>
      <c r="C19" s="48" t="s">
        <v>28</v>
      </c>
      <c r="D19" s="3">
        <f>'11_tc_Taux nominal bénéfice'!$D$7</f>
        <v>0.098</v>
      </c>
      <c r="E19" s="3">
        <f>'11_tc_Taux nominal bénéfice'!E7</f>
        <v>0.098</v>
      </c>
      <c r="F19" s="3">
        <f>'11_tc_Taux nominal bénéfice'!F7</f>
        <v>0.098</v>
      </c>
      <c r="G19" s="3">
        <f>'11_tc_Taux nominal bénéfice'!G7</f>
        <v>0.098</v>
      </c>
      <c r="H19" s="3">
        <f>'11_tc_Taux nominal bénéfice'!H7</f>
        <v>0.098</v>
      </c>
      <c r="I19" s="3">
        <f>'11_tc_Taux nominal bénéfice'!I7</f>
        <v>0.098</v>
      </c>
      <c r="J19" s="3">
        <f>'11_tc_Taux nominal bénéfice'!J7</f>
        <v>0.098</v>
      </c>
      <c r="K19" s="3">
        <f>'11_tc_Taux nominal bénéfice'!K7</f>
        <v>0.085</v>
      </c>
      <c r="L19" s="3">
        <f>'11_tc_Taux nominal bénéfice'!L7</f>
        <v>0.085</v>
      </c>
      <c r="M19" s="3">
        <f>'11_tc_Taux nominal bénéfice'!M7</f>
        <v>0.085</v>
      </c>
      <c r="N19" s="3">
        <f>'11_tc_Taux nominal bénéfice'!N7</f>
        <v>0.085</v>
      </c>
      <c r="O19" s="3">
        <f>'11_tc_Taux nominal bénéfice'!O7</f>
        <v>0.085</v>
      </c>
      <c r="P19" s="3">
        <f>'11_tc_Taux nominal bénéfice'!P7</f>
        <v>0.085</v>
      </c>
    </row>
    <row r="20" spans="2:16" ht="29.25" customHeight="1" thickBot="1">
      <c r="B20" s="2" t="s">
        <v>362</v>
      </c>
      <c r="C20" s="48" t="s">
        <v>363</v>
      </c>
      <c r="D20" s="3">
        <f aca="true" t="shared" si="8" ref="D20:P20">D18-D19</f>
        <v>0.2855160877891362</v>
      </c>
      <c r="E20" s="3">
        <f t="shared" si="8"/>
        <v>0.29150129688047677</v>
      </c>
      <c r="F20" s="3">
        <f t="shared" si="8"/>
        <v>0.2999612942183997</v>
      </c>
      <c r="G20" s="3">
        <f t="shared" si="8"/>
        <v>0.2999612942183997</v>
      </c>
      <c r="H20" s="3">
        <f t="shared" si="8"/>
        <v>0.30000055869232134</v>
      </c>
      <c r="I20" s="3">
        <f t="shared" si="8"/>
        <v>0.30000055869232134</v>
      </c>
      <c r="J20" s="3">
        <f t="shared" si="8"/>
        <v>0.30001831010357105</v>
      </c>
      <c r="K20" s="3">
        <f t="shared" si="8"/>
        <v>0.30001214066424775</v>
      </c>
      <c r="L20" s="3">
        <f t="shared" si="8"/>
        <v>0.24998647527146983</v>
      </c>
      <c r="M20" s="3">
        <f t="shared" si="8"/>
        <v>0.24702048911934893</v>
      </c>
      <c r="N20" s="3">
        <f t="shared" si="8"/>
        <v>0.2429988709377504</v>
      </c>
      <c r="O20" s="3">
        <f t="shared" si="8"/>
        <v>0.2379922781208984</v>
      </c>
      <c r="P20" s="3">
        <f t="shared" si="8"/>
        <v>0.2325152246885407</v>
      </c>
    </row>
    <row r="21" spans="2:16" ht="29.25" customHeight="1" thickBot="1">
      <c r="B21" s="2" t="s">
        <v>364</v>
      </c>
      <c r="C21" s="48" t="s">
        <v>365</v>
      </c>
      <c r="D21" s="3">
        <f aca="true" t="shared" si="9" ref="D21:P21">D20/D10</f>
        <v>0.11999499360726913</v>
      </c>
      <c r="E21" s="3">
        <f t="shared" si="9"/>
        <v>0.11998900834793642</v>
      </c>
      <c r="F21" s="3">
        <f t="shared" si="9"/>
        <v>0.12000371828228504</v>
      </c>
      <c r="G21" s="3">
        <f t="shared" si="9"/>
        <v>0.12000371828228504</v>
      </c>
      <c r="H21" s="3">
        <f t="shared" si="9"/>
        <v>0.12000022347692854</v>
      </c>
      <c r="I21" s="3">
        <f t="shared" si="9"/>
        <v>0.12000022347692854</v>
      </c>
      <c r="J21" s="3">
        <f t="shared" si="9"/>
        <v>0.12000732404142841</v>
      </c>
      <c r="K21" s="3">
        <f t="shared" si="9"/>
        <v>0.12000005626344858</v>
      </c>
      <c r="L21" s="3">
        <f t="shared" si="9"/>
        <v>0.09999059048496854</v>
      </c>
      <c r="M21" s="3">
        <f t="shared" si="9"/>
        <v>0.10000424643510342</v>
      </c>
      <c r="N21" s="3">
        <f t="shared" si="9"/>
        <v>0.09999542032745583</v>
      </c>
      <c r="O21" s="3">
        <f t="shared" si="9"/>
        <v>0.09998835313036653</v>
      </c>
      <c r="P21" s="3">
        <f t="shared" si="9"/>
        <v>0.09999794627926231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D1">
      <selection activeCell="Q14" sqref="Q14"/>
    </sheetView>
  </sheetViews>
  <sheetFormatPr defaultColWidth="12" defaultRowHeight="11.25"/>
  <cols>
    <col min="2" max="2" width="54.16015625" style="0" customWidth="1"/>
    <col min="3" max="3" width="38.66015625" style="0" customWidth="1"/>
    <col min="4" max="4" width="15.5" style="0" customWidth="1"/>
    <col min="5" max="5" width="13.83203125" style="0" customWidth="1"/>
    <col min="6" max="7" width="11" style="0" customWidth="1"/>
    <col min="9" max="9" width="11.16015625" style="0" customWidth="1"/>
    <col min="10" max="11" width="10.33203125" style="0" customWidth="1"/>
    <col min="12" max="12" width="9.83203125" style="0" customWidth="1"/>
    <col min="13" max="13" width="9.66015625" style="0" customWidth="1"/>
    <col min="15" max="15" width="10.33203125" style="0" customWidth="1"/>
    <col min="16" max="16" width="13.16015625" style="0" customWidth="1"/>
  </cols>
  <sheetData>
    <row r="1" ht="11.25">
      <c r="A1" s="142" t="s">
        <v>322</v>
      </c>
    </row>
    <row r="3" ht="13.5" customHeight="1" thickBot="1"/>
    <row r="4" spans="2:16" ht="51.75" customHeight="1" thickBot="1">
      <c r="B4" s="6" t="s">
        <v>426</v>
      </c>
      <c r="C4" s="116" t="s">
        <v>172</v>
      </c>
      <c r="D4" s="1">
        <v>1991</v>
      </c>
      <c r="E4" s="1">
        <f>D4+1</f>
        <v>1992</v>
      </c>
      <c r="F4" s="1">
        <f aca="true" t="shared" si="0" ref="F4:N4">E4+1</f>
        <v>1993</v>
      </c>
      <c r="G4" s="1">
        <f t="shared" si="0"/>
        <v>1994</v>
      </c>
      <c r="H4" s="1">
        <f t="shared" si="0"/>
        <v>1995</v>
      </c>
      <c r="I4" s="1">
        <f t="shared" si="0"/>
        <v>1996</v>
      </c>
      <c r="J4" s="1">
        <f t="shared" si="0"/>
        <v>1997</v>
      </c>
      <c r="K4" s="1">
        <f t="shared" si="0"/>
        <v>1998</v>
      </c>
      <c r="L4" s="1">
        <f t="shared" si="0"/>
        <v>1999</v>
      </c>
      <c r="M4" s="1">
        <f t="shared" si="0"/>
        <v>2000</v>
      </c>
      <c r="N4" s="1">
        <f t="shared" si="0"/>
        <v>2001</v>
      </c>
      <c r="O4" s="1">
        <f>N4+1</f>
        <v>2002</v>
      </c>
      <c r="P4" s="1">
        <f>O4+1</f>
        <v>2003</v>
      </c>
    </row>
    <row r="5" spans="2:16" ht="51" customHeight="1" thickBot="1">
      <c r="B5" s="47" t="s">
        <v>345</v>
      </c>
      <c r="C5" s="168" t="s">
        <v>346</v>
      </c>
      <c r="D5" s="3">
        <f>'3_Synthèse calcul taux_et cfis'!E26</f>
        <v>0.283556</v>
      </c>
      <c r="E5" s="3">
        <f>'3_Synthèse calcul taux_et cfis'!F26</f>
        <v>0.28675</v>
      </c>
      <c r="F5" s="3">
        <f>'3_Synthèse calcul taux_et cfis'!G26</f>
        <v>0.291217</v>
      </c>
      <c r="G5" s="3">
        <f>'3_Synthèse calcul taux_et cfis'!H26</f>
        <v>0.291217</v>
      </c>
      <c r="H5" s="3">
        <f>'3_Synthèse calcul taux_et cfis'!I26</f>
        <v>0.291202</v>
      </c>
      <c r="I5" s="3">
        <f>'3_Synthèse calcul taux_et cfis'!J26</f>
        <v>0.291202</v>
      </c>
      <c r="J5" s="3">
        <f>'3_Synthèse calcul taux_et cfis'!K26</f>
        <v>0.291211</v>
      </c>
      <c r="K5" s="3">
        <f>'3_Synthèse calcul taux_et cfis'!L26</f>
        <v>0.2834</v>
      </c>
      <c r="L5" s="3">
        <f>'3_Synthèse calcul taux_et cfis'!M26</f>
        <v>0.256547</v>
      </c>
      <c r="M5" s="3">
        <f>'3_Synthèse calcul taux_et cfis'!N26</f>
        <v>0.254824</v>
      </c>
      <c r="N5" s="3">
        <f>'3_Synthèse calcul taux_et cfis'!O26</f>
        <v>0.252477</v>
      </c>
      <c r="O5" s="3">
        <f>'3_Synthèse calcul taux_et cfis'!P26</f>
        <v>0.249535</v>
      </c>
      <c r="P5" s="3">
        <f>'3_Synthèse calcul taux_et cfis'!Q26</f>
        <v>0.24629</v>
      </c>
    </row>
    <row r="6" spans="2:16" ht="29.25" customHeight="1" thickBot="1">
      <c r="B6" s="50" t="s">
        <v>347</v>
      </c>
      <c r="C6" s="72" t="s">
        <v>29</v>
      </c>
      <c r="D6" s="63">
        <v>1000000</v>
      </c>
      <c r="E6" s="63">
        <v>1000000</v>
      </c>
      <c r="F6" s="63">
        <v>1000000</v>
      </c>
      <c r="G6" s="63">
        <v>1000000</v>
      </c>
      <c r="H6" s="63">
        <v>1000000</v>
      </c>
      <c r="I6" s="63">
        <v>1000000</v>
      </c>
      <c r="J6" s="63">
        <v>1000000</v>
      </c>
      <c r="K6" s="63">
        <v>1000000</v>
      </c>
      <c r="L6" s="63">
        <v>1000000</v>
      </c>
      <c r="M6" s="63">
        <v>1000000</v>
      </c>
      <c r="N6" s="63">
        <v>1000000</v>
      </c>
      <c r="O6" s="63">
        <v>1000000</v>
      </c>
      <c r="P6" s="63">
        <v>1000000</v>
      </c>
    </row>
    <row r="7" spans="2:16" ht="25.5" customHeight="1" thickBot="1">
      <c r="B7" s="50" t="s">
        <v>348</v>
      </c>
      <c r="C7" s="72" t="s">
        <v>30</v>
      </c>
      <c r="D7" s="63">
        <v>2000000</v>
      </c>
      <c r="E7" s="63">
        <v>2000000</v>
      </c>
      <c r="F7" s="63">
        <v>2000000</v>
      </c>
      <c r="G7" s="63">
        <v>2000000</v>
      </c>
      <c r="H7" s="63">
        <v>2000000</v>
      </c>
      <c r="I7" s="63">
        <v>2000000</v>
      </c>
      <c r="J7" s="63">
        <v>2000000</v>
      </c>
      <c r="K7" s="63">
        <v>2000000</v>
      </c>
      <c r="L7" s="63">
        <v>2000000</v>
      </c>
      <c r="M7" s="63">
        <v>2000000</v>
      </c>
      <c r="N7" s="63">
        <v>2000000</v>
      </c>
      <c r="O7" s="63">
        <v>2000000</v>
      </c>
      <c r="P7" s="63">
        <v>2000000</v>
      </c>
    </row>
    <row r="8" spans="2:16" ht="25.5" customHeight="1" thickBot="1">
      <c r="B8" s="73" t="s">
        <v>349</v>
      </c>
      <c r="C8" s="74" t="s">
        <v>61</v>
      </c>
      <c r="D8" s="64">
        <f aca="true" t="shared" si="1" ref="D8:P8">D6/D7</f>
        <v>0.5</v>
      </c>
      <c r="E8" s="64">
        <f t="shared" si="1"/>
        <v>0.5</v>
      </c>
      <c r="F8" s="64">
        <f t="shared" si="1"/>
        <v>0.5</v>
      </c>
      <c r="G8" s="64">
        <f t="shared" si="1"/>
        <v>0.5</v>
      </c>
      <c r="H8" s="64">
        <f t="shared" si="1"/>
        <v>0.5</v>
      </c>
      <c r="I8" s="64">
        <f t="shared" si="1"/>
        <v>0.5</v>
      </c>
      <c r="J8" s="64">
        <f t="shared" si="1"/>
        <v>0.5</v>
      </c>
      <c r="K8" s="64">
        <f t="shared" si="1"/>
        <v>0.5</v>
      </c>
      <c r="L8" s="64">
        <f t="shared" si="1"/>
        <v>0.5</v>
      </c>
      <c r="M8" s="64">
        <f t="shared" si="1"/>
        <v>0.5</v>
      </c>
      <c r="N8" s="64">
        <f t="shared" si="1"/>
        <v>0.5</v>
      </c>
      <c r="O8" s="64">
        <f t="shared" si="1"/>
        <v>0.5</v>
      </c>
      <c r="P8" s="64">
        <f t="shared" si="1"/>
        <v>0.5</v>
      </c>
    </row>
    <row r="9" spans="2:16" ht="29.25" customHeight="1" thickBot="1">
      <c r="B9" s="73" t="s">
        <v>350</v>
      </c>
      <c r="C9" s="74" t="s">
        <v>63</v>
      </c>
      <c r="D9" s="65">
        <f aca="true" t="shared" si="2" ref="D9:P9">1/D8</f>
        <v>2</v>
      </c>
      <c r="E9" s="65">
        <f t="shared" si="2"/>
        <v>2</v>
      </c>
      <c r="F9" s="65">
        <f t="shared" si="2"/>
        <v>2</v>
      </c>
      <c r="G9" s="65">
        <f t="shared" si="2"/>
        <v>2</v>
      </c>
      <c r="H9" s="65">
        <f t="shared" si="2"/>
        <v>2</v>
      </c>
      <c r="I9" s="65">
        <f t="shared" si="2"/>
        <v>2</v>
      </c>
      <c r="J9" s="65">
        <f t="shared" si="2"/>
        <v>2</v>
      </c>
      <c r="K9" s="65">
        <f t="shared" si="2"/>
        <v>2</v>
      </c>
      <c r="L9" s="65">
        <f t="shared" si="2"/>
        <v>2</v>
      </c>
      <c r="M9" s="65">
        <f t="shared" si="2"/>
        <v>2</v>
      </c>
      <c r="N9" s="65">
        <f t="shared" si="2"/>
        <v>2</v>
      </c>
      <c r="O9" s="65">
        <f t="shared" si="2"/>
        <v>2</v>
      </c>
      <c r="P9" s="65">
        <f t="shared" si="2"/>
        <v>2</v>
      </c>
    </row>
    <row r="10" spans="2:16" ht="30.75" customHeight="1" thickBot="1">
      <c r="B10" s="47" t="s">
        <v>351</v>
      </c>
      <c r="C10" s="75" t="s">
        <v>166</v>
      </c>
      <c r="D10" s="8">
        <f>'13_Multiplicateurs '!D7</f>
        <v>2.3794</v>
      </c>
      <c r="E10" s="8">
        <f>'13_Multiplicateurs '!E7</f>
        <v>2.4294000000000002</v>
      </c>
      <c r="F10" s="8">
        <f>'13_Multiplicateurs '!F7</f>
        <v>2.4996</v>
      </c>
      <c r="G10" s="8">
        <f>'13_Multiplicateurs '!G7</f>
        <v>2.4996</v>
      </c>
      <c r="H10" s="8">
        <f>'13_Multiplicateurs '!H7</f>
        <v>2.5</v>
      </c>
      <c r="I10" s="8">
        <f>'13_Multiplicateurs '!I7</f>
        <v>2.5</v>
      </c>
      <c r="J10" s="8">
        <f>'13_Multiplicateurs '!J7</f>
        <v>2.5</v>
      </c>
      <c r="K10" s="8">
        <f>'13_Multiplicateurs '!K7</f>
        <v>2.5000999999999998</v>
      </c>
      <c r="L10" s="8">
        <f>'13_Multiplicateurs '!L7</f>
        <v>2.5000999999999998</v>
      </c>
      <c r="M10" s="8">
        <f>'13_Multiplicateurs '!M7</f>
        <v>2.4701</v>
      </c>
      <c r="N10" s="8">
        <f>'13_Multiplicateurs '!N7</f>
        <v>2.4301</v>
      </c>
      <c r="O10" s="8">
        <f>'13_Multiplicateurs '!O7</f>
        <v>2.3802</v>
      </c>
      <c r="P10" s="8">
        <f>'13_Multiplicateurs '!P7</f>
        <v>2.3251999999999997</v>
      </c>
    </row>
    <row r="11" spans="2:16" ht="29.25" customHeight="1" thickBot="1">
      <c r="B11" s="12" t="s">
        <v>366</v>
      </c>
      <c r="C11" s="170" t="s">
        <v>367</v>
      </c>
      <c r="D11" s="13">
        <f>'14_ Données taux bénéfice'!D5</f>
        <v>0.12</v>
      </c>
      <c r="E11" s="13">
        <f>'14_ Données taux bénéfice'!E5</f>
        <v>0.12</v>
      </c>
      <c r="F11" s="13">
        <f>'14_ Données taux bénéfice'!F5</f>
        <v>0.12</v>
      </c>
      <c r="G11" s="13">
        <f>'14_ Données taux bénéfice'!G5</f>
        <v>0.12</v>
      </c>
      <c r="H11" s="13">
        <f>'14_ Données taux bénéfice'!H5</f>
        <v>0.12</v>
      </c>
      <c r="I11" s="13">
        <f>'14_ Données taux bénéfice'!I5</f>
        <v>0.12</v>
      </c>
      <c r="J11" s="13">
        <f>'14_ Données taux bénéfice'!J5</f>
        <v>0.12</v>
      </c>
      <c r="K11" s="13">
        <f>'14_ Données taux bénéfice'!K5</f>
        <v>0.12</v>
      </c>
      <c r="L11" s="13">
        <f>'14_ Données taux bénéfice'!L5</f>
        <v>0.1</v>
      </c>
      <c r="M11" s="13">
        <f>'14_ Données taux bénéfice'!M5</f>
        <v>0.1</v>
      </c>
      <c r="N11" s="13">
        <f>'14_ Données taux bénéfice'!N5</f>
        <v>0.1</v>
      </c>
      <c r="O11" s="13">
        <f>'14_ Données taux bénéfice'!O5</f>
        <v>0.1</v>
      </c>
      <c r="P11" s="13">
        <f>'14_ Données taux bénéfice'!P5</f>
        <v>0.1</v>
      </c>
    </row>
    <row r="12" spans="2:16" ht="29.25" customHeight="1" thickBot="1">
      <c r="B12" s="12" t="s">
        <v>368</v>
      </c>
      <c r="C12" s="170" t="s">
        <v>369</v>
      </c>
      <c r="D12" s="13">
        <f aca="true" t="shared" si="3" ref="D12:P12">D11*D10</f>
        <v>0.285528</v>
      </c>
      <c r="E12" s="13">
        <f t="shared" si="3"/>
        <v>0.291528</v>
      </c>
      <c r="F12" s="13">
        <f t="shared" si="3"/>
        <v>0.299952</v>
      </c>
      <c r="G12" s="13">
        <f t="shared" si="3"/>
        <v>0.299952</v>
      </c>
      <c r="H12" s="13">
        <f t="shared" si="3"/>
        <v>0.3</v>
      </c>
      <c r="I12" s="13">
        <f t="shared" si="3"/>
        <v>0.3</v>
      </c>
      <c r="J12" s="13">
        <f t="shared" si="3"/>
        <v>0.3</v>
      </c>
      <c r="K12" s="13">
        <f t="shared" si="3"/>
        <v>0.30001199999999995</v>
      </c>
      <c r="L12" s="13">
        <f t="shared" si="3"/>
        <v>0.25001</v>
      </c>
      <c r="M12" s="13">
        <f t="shared" si="3"/>
        <v>0.24701</v>
      </c>
      <c r="N12" s="13">
        <f t="shared" si="3"/>
        <v>0.24301</v>
      </c>
      <c r="O12" s="13">
        <f t="shared" si="3"/>
        <v>0.23802</v>
      </c>
      <c r="P12" s="13">
        <f t="shared" si="3"/>
        <v>0.23251999999999998</v>
      </c>
    </row>
    <row r="13" spans="2:16" ht="29.25" customHeight="1" thickBot="1">
      <c r="B13" s="12" t="s">
        <v>370</v>
      </c>
      <c r="C13" s="170" t="s">
        <v>28</v>
      </c>
      <c r="D13" s="13">
        <f>'11_tc_Taux nominal bénéfice'!D7</f>
        <v>0.098</v>
      </c>
      <c r="E13" s="13">
        <f>'11_tc_Taux nominal bénéfice'!E7</f>
        <v>0.098</v>
      </c>
      <c r="F13" s="13">
        <f>'11_tc_Taux nominal bénéfice'!F7</f>
        <v>0.098</v>
      </c>
      <c r="G13" s="13">
        <f>'11_tc_Taux nominal bénéfice'!G7</f>
        <v>0.098</v>
      </c>
      <c r="H13" s="13">
        <f>'11_tc_Taux nominal bénéfice'!H7</f>
        <v>0.098</v>
      </c>
      <c r="I13" s="13">
        <f>'11_tc_Taux nominal bénéfice'!I7</f>
        <v>0.098</v>
      </c>
      <c r="J13" s="13">
        <f>'11_tc_Taux nominal bénéfice'!J7</f>
        <v>0.098</v>
      </c>
      <c r="K13" s="13">
        <f>'11_tc_Taux nominal bénéfice'!K7</f>
        <v>0.085</v>
      </c>
      <c r="L13" s="13">
        <f>'11_tc_Taux nominal bénéfice'!L7</f>
        <v>0.085</v>
      </c>
      <c r="M13" s="13">
        <f>'11_tc_Taux nominal bénéfice'!M7</f>
        <v>0.085</v>
      </c>
      <c r="N13" s="13">
        <f>'11_tc_Taux nominal bénéfice'!N7</f>
        <v>0.085</v>
      </c>
      <c r="O13" s="13">
        <f>'11_tc_Taux nominal bénéfice'!O7</f>
        <v>0.085</v>
      </c>
      <c r="P13" s="13">
        <f>'11_tc_Taux nominal bénéfice'!P7</f>
        <v>0.085</v>
      </c>
    </row>
    <row r="14" spans="2:16" ht="29.25" customHeight="1" thickBot="1">
      <c r="B14" s="12" t="s">
        <v>371</v>
      </c>
      <c r="C14" s="170" t="s">
        <v>372</v>
      </c>
      <c r="D14" s="13">
        <f aca="true" t="shared" si="4" ref="D14:P14">D12+D13</f>
        <v>0.383528</v>
      </c>
      <c r="E14" s="13">
        <f t="shared" si="4"/>
        <v>0.389528</v>
      </c>
      <c r="F14" s="13">
        <f t="shared" si="4"/>
        <v>0.397952</v>
      </c>
      <c r="G14" s="13">
        <f t="shared" si="4"/>
        <v>0.397952</v>
      </c>
      <c r="H14" s="13">
        <f t="shared" si="4"/>
        <v>0.398</v>
      </c>
      <c r="I14" s="13">
        <f t="shared" si="4"/>
        <v>0.398</v>
      </c>
      <c r="J14" s="13">
        <f t="shared" si="4"/>
        <v>0.398</v>
      </c>
      <c r="K14" s="13">
        <f t="shared" si="4"/>
        <v>0.38501199999999997</v>
      </c>
      <c r="L14" s="13">
        <f t="shared" si="4"/>
        <v>0.33501000000000003</v>
      </c>
      <c r="M14" s="13">
        <f t="shared" si="4"/>
        <v>0.33201</v>
      </c>
      <c r="N14" s="13">
        <f t="shared" si="4"/>
        <v>0.32801</v>
      </c>
      <c r="O14" s="13">
        <f t="shared" si="4"/>
        <v>0.32302000000000003</v>
      </c>
      <c r="P14" s="13">
        <f t="shared" si="4"/>
        <v>0.31751999999999997</v>
      </c>
    </row>
    <row r="15" spans="2:16" ht="29.25" customHeight="1" thickBot="1">
      <c r="B15" s="12" t="s">
        <v>373</v>
      </c>
      <c r="C15" s="170" t="s">
        <v>374</v>
      </c>
      <c r="D15" s="169">
        <f aca="true" t="shared" si="5" ref="D15:P15">D5*(1+D14)-D14</f>
        <v>0.008779665568000028</v>
      </c>
      <c r="E15" s="169">
        <f t="shared" si="5"/>
        <v>0.008919153999999985</v>
      </c>
      <c r="F15" s="169">
        <f t="shared" si="5"/>
        <v>0.00915538758400003</v>
      </c>
      <c r="G15" s="169">
        <f t="shared" si="5"/>
        <v>0.00915538758400003</v>
      </c>
      <c r="H15" s="169">
        <f t="shared" si="5"/>
        <v>0.009100396000000066</v>
      </c>
      <c r="I15" s="169">
        <f t="shared" si="5"/>
        <v>0.009100396000000066</v>
      </c>
      <c r="J15" s="169">
        <f t="shared" si="5"/>
        <v>0.009112977999999994</v>
      </c>
      <c r="K15" s="169">
        <f t="shared" si="5"/>
        <v>0.007500400799999973</v>
      </c>
      <c r="L15" s="169">
        <f t="shared" si="5"/>
        <v>0.00748281046999999</v>
      </c>
      <c r="M15" s="169">
        <f t="shared" si="5"/>
        <v>0.007418116239999939</v>
      </c>
      <c r="N15" s="169">
        <f t="shared" si="5"/>
        <v>0.007281980769999974</v>
      </c>
      <c r="O15" s="169">
        <f t="shared" si="5"/>
        <v>0.007119795699999987</v>
      </c>
      <c r="P15" s="169">
        <f t="shared" si="5"/>
        <v>0.006972000800000044</v>
      </c>
    </row>
    <row r="16" spans="2:16" ht="29.25" customHeight="1" thickBot="1">
      <c r="B16" s="12" t="s">
        <v>375</v>
      </c>
      <c r="C16" s="67" t="s">
        <v>127</v>
      </c>
      <c r="D16" s="13">
        <f>'15_Données taux capital'!D4</f>
        <v>0.000825</v>
      </c>
      <c r="E16" s="13">
        <f>'15_Données taux capital'!E4</f>
        <v>0.000825</v>
      </c>
      <c r="F16" s="13">
        <f>'15_Données taux capital'!F4</f>
        <v>0.000825</v>
      </c>
      <c r="G16" s="13">
        <f>'15_Données taux capital'!G4</f>
        <v>0.000825</v>
      </c>
      <c r="H16" s="13">
        <f>'15_Données taux capital'!H4</f>
        <v>0.0008</v>
      </c>
      <c r="I16" s="13">
        <f>'15_Données taux capital'!I4</f>
        <v>0.0008</v>
      </c>
      <c r="J16" s="13">
        <f>'15_Données taux capital'!J4</f>
        <v>0.0008</v>
      </c>
      <c r="K16" s="13">
        <f>'15_Données taux capital'!K4</f>
        <v>0</v>
      </c>
      <c r="L16" s="13">
        <f>'15_Données taux capital'!L4</f>
        <v>0</v>
      </c>
      <c r="M16" s="13">
        <f>'15_Données taux capital'!M4</f>
        <v>0</v>
      </c>
      <c r="N16" s="13">
        <f>'15_Données taux capital'!N4</f>
        <v>0</v>
      </c>
      <c r="O16" s="13">
        <f>'15_Données taux capital'!O4</f>
        <v>0</v>
      </c>
      <c r="P16" s="13">
        <f>'15_Données taux capital'!P4</f>
        <v>0</v>
      </c>
    </row>
    <row r="17" spans="2:16" ht="29.25" customHeight="1" thickBot="1">
      <c r="B17" s="14" t="s">
        <v>376</v>
      </c>
      <c r="C17" s="67" t="s">
        <v>377</v>
      </c>
      <c r="D17" s="13">
        <f aca="true" t="shared" si="6" ref="D17:P17">D16*D9</f>
        <v>0.00165</v>
      </c>
      <c r="E17" s="13">
        <f t="shared" si="6"/>
        <v>0.00165</v>
      </c>
      <c r="F17" s="13">
        <f t="shared" si="6"/>
        <v>0.00165</v>
      </c>
      <c r="G17" s="13">
        <f t="shared" si="6"/>
        <v>0.00165</v>
      </c>
      <c r="H17" s="13">
        <f t="shared" si="6"/>
        <v>0.0016</v>
      </c>
      <c r="I17" s="13">
        <f t="shared" si="6"/>
        <v>0.0016</v>
      </c>
      <c r="J17" s="13">
        <f t="shared" si="6"/>
        <v>0.0016</v>
      </c>
      <c r="K17" s="13">
        <f t="shared" si="6"/>
        <v>0</v>
      </c>
      <c r="L17" s="13">
        <f t="shared" si="6"/>
        <v>0</v>
      </c>
      <c r="M17" s="13">
        <f t="shared" si="6"/>
        <v>0</v>
      </c>
      <c r="N17" s="13">
        <f t="shared" si="6"/>
        <v>0</v>
      </c>
      <c r="O17" s="13">
        <f t="shared" si="6"/>
        <v>0</v>
      </c>
      <c r="P17" s="13">
        <f t="shared" si="6"/>
        <v>0</v>
      </c>
    </row>
    <row r="18" spans="2:16" ht="29.25" customHeight="1" thickBot="1">
      <c r="B18" s="12" t="s">
        <v>12</v>
      </c>
      <c r="C18" s="67" t="s">
        <v>378</v>
      </c>
      <c r="D18" s="169">
        <f aca="true" t="shared" si="7" ref="D18:P18">D15-D17</f>
        <v>0.0071296655680000275</v>
      </c>
      <c r="E18" s="169">
        <f t="shared" si="7"/>
        <v>0.007269153999999984</v>
      </c>
      <c r="F18" s="169">
        <f t="shared" si="7"/>
        <v>0.007505387584000029</v>
      </c>
      <c r="G18" s="169">
        <f t="shared" si="7"/>
        <v>0.007505387584000029</v>
      </c>
      <c r="H18" s="169">
        <f t="shared" si="7"/>
        <v>0.007500396000000066</v>
      </c>
      <c r="I18" s="169">
        <f t="shared" si="7"/>
        <v>0.007500396000000066</v>
      </c>
      <c r="J18" s="169">
        <f t="shared" si="7"/>
        <v>0.007512977999999994</v>
      </c>
      <c r="K18" s="169">
        <f t="shared" si="7"/>
        <v>0.007500400799999973</v>
      </c>
      <c r="L18" s="169">
        <f t="shared" si="7"/>
        <v>0.00748281046999999</v>
      </c>
      <c r="M18" s="169">
        <f t="shared" si="7"/>
        <v>0.007418116239999939</v>
      </c>
      <c r="N18" s="169">
        <f t="shared" si="7"/>
        <v>0.007281980769999974</v>
      </c>
      <c r="O18" s="169">
        <f t="shared" si="7"/>
        <v>0.007119795699999987</v>
      </c>
      <c r="P18" s="169">
        <f t="shared" si="7"/>
        <v>0.006972000800000044</v>
      </c>
    </row>
    <row r="19" spans="1:16" ht="29.25" customHeight="1" thickBot="1">
      <c r="A19" t="s">
        <v>379</v>
      </c>
      <c r="B19" s="12" t="s">
        <v>380</v>
      </c>
      <c r="C19" s="86" t="s">
        <v>381</v>
      </c>
      <c r="D19" s="171">
        <f aca="true" t="shared" si="8" ref="D19:P20">D18/D9</f>
        <v>0.0035648327840000138</v>
      </c>
      <c r="E19" s="171">
        <f t="shared" si="8"/>
        <v>0.003634576999999992</v>
      </c>
      <c r="F19" s="171">
        <f t="shared" si="8"/>
        <v>0.0037526937920000147</v>
      </c>
      <c r="G19" s="171">
        <f t="shared" si="8"/>
        <v>0.0037526937920000147</v>
      </c>
      <c r="H19" s="171">
        <f t="shared" si="8"/>
        <v>0.003750198000000033</v>
      </c>
      <c r="I19" s="171">
        <f t="shared" si="8"/>
        <v>0.003750198000000033</v>
      </c>
      <c r="J19" s="171">
        <f t="shared" si="8"/>
        <v>0.003756488999999997</v>
      </c>
      <c r="K19" s="171">
        <f t="shared" si="8"/>
        <v>0.0037502003999999867</v>
      </c>
      <c r="L19" s="171">
        <f t="shared" si="8"/>
        <v>0.003741405234999995</v>
      </c>
      <c r="M19" s="171">
        <f t="shared" si="8"/>
        <v>0.0037090581199999695</v>
      </c>
      <c r="N19" s="171">
        <f t="shared" si="8"/>
        <v>0.003640990384999987</v>
      </c>
      <c r="O19" s="171">
        <f t="shared" si="8"/>
        <v>0.0035598978499999934</v>
      </c>
      <c r="P19" s="171">
        <f t="shared" si="8"/>
        <v>0.003486000400000022</v>
      </c>
    </row>
    <row r="20" spans="2:16" ht="29.25" customHeight="1" thickBot="1">
      <c r="B20" s="12" t="s">
        <v>382</v>
      </c>
      <c r="C20" s="77" t="s">
        <v>383</v>
      </c>
      <c r="D20" s="171">
        <f t="shared" si="8"/>
        <v>0.0014982065999831948</v>
      </c>
      <c r="E20" s="171">
        <f t="shared" si="8"/>
        <v>0.0014960801020828154</v>
      </c>
      <c r="F20" s="171">
        <f t="shared" si="8"/>
        <v>0.0015013177276364277</v>
      </c>
      <c r="G20" s="171">
        <f t="shared" si="8"/>
        <v>0.0015013177276364277</v>
      </c>
      <c r="H20" s="171">
        <f t="shared" si="8"/>
        <v>0.0015000792000000132</v>
      </c>
      <c r="I20" s="171">
        <f t="shared" si="8"/>
        <v>0.0015000792000000132</v>
      </c>
      <c r="J20" s="171">
        <f t="shared" si="8"/>
        <v>0.0015025955999999987</v>
      </c>
      <c r="K20" s="171">
        <f t="shared" si="8"/>
        <v>0.0015000201591936272</v>
      </c>
      <c r="L20" s="171">
        <f t="shared" si="8"/>
        <v>0.0014965022339106418</v>
      </c>
      <c r="M20" s="171">
        <f t="shared" si="8"/>
        <v>0.001501582170762305</v>
      </c>
      <c r="N20" s="171">
        <f t="shared" si="8"/>
        <v>0.0014982882947203765</v>
      </c>
      <c r="O20" s="171">
        <f t="shared" si="8"/>
        <v>0.0014956297159902502</v>
      </c>
      <c r="P20" s="171">
        <f t="shared" si="8"/>
        <v>0.0014992260450714015</v>
      </c>
    </row>
    <row r="21" spans="2:16" ht="26.25" thickBot="1">
      <c r="B21" s="47" t="s">
        <v>384</v>
      </c>
      <c r="C21" s="172" t="s">
        <v>385</v>
      </c>
      <c r="D21" s="173">
        <f>'15_Données taux capital'!D5</f>
        <v>0.0015</v>
      </c>
      <c r="E21" s="173">
        <f>'15_Données taux capital'!E5</f>
        <v>0.0015</v>
      </c>
      <c r="F21" s="173">
        <f>'15_Données taux capital'!F5</f>
        <v>0.0015</v>
      </c>
      <c r="G21" s="173">
        <f>'15_Données taux capital'!G5</f>
        <v>0.0015</v>
      </c>
      <c r="H21" s="173">
        <f>'15_Données taux capital'!H5</f>
        <v>0.0015</v>
      </c>
      <c r="I21" s="173">
        <f>'15_Données taux capital'!I5</f>
        <v>0.0015</v>
      </c>
      <c r="J21" s="173">
        <f>'15_Données taux capital'!J5</f>
        <v>0.0015</v>
      </c>
      <c r="K21" s="173">
        <f>'15_Données taux capital'!K5</f>
        <v>0.0015</v>
      </c>
      <c r="L21" s="173">
        <f>'15_Données taux capital'!L5</f>
        <v>0.0015</v>
      </c>
      <c r="M21" s="173">
        <f>'15_Données taux capital'!M5</f>
        <v>0.0015</v>
      </c>
      <c r="N21" s="173">
        <f>'15_Données taux capital'!N5</f>
        <v>0.0015</v>
      </c>
      <c r="O21" s="173">
        <f>'15_Données taux capital'!O5</f>
        <v>0.0015</v>
      </c>
      <c r="P21" s="173">
        <f>'15_Données taux capital'!P5</f>
        <v>0.0015</v>
      </c>
    </row>
    <row r="22" spans="2:16" ht="13.5" thickBot="1">
      <c r="B22" s="47" t="s">
        <v>386</v>
      </c>
      <c r="C22" s="172" t="s">
        <v>230</v>
      </c>
      <c r="D22" s="173">
        <f>D20-D21</f>
        <v>-1.7934000168052036E-06</v>
      </c>
      <c r="E22" s="173">
        <f aca="true" t="shared" si="9" ref="E22:O22">E20-E21</f>
        <v>-3.919897917184631E-06</v>
      </c>
      <c r="F22" s="173">
        <f t="shared" si="9"/>
        <v>1.3177276364277016E-06</v>
      </c>
      <c r="G22" s="173">
        <f t="shared" si="9"/>
        <v>1.3177276364277016E-06</v>
      </c>
      <c r="H22" s="173">
        <f t="shared" si="9"/>
        <v>7.920000001312988E-08</v>
      </c>
      <c r="I22" s="173">
        <f t="shared" si="9"/>
        <v>7.920000001312988E-08</v>
      </c>
      <c r="J22" s="173">
        <f t="shared" si="9"/>
        <v>2.595599999998671E-06</v>
      </c>
      <c r="K22" s="173">
        <f t="shared" si="9"/>
        <v>2.0159193627128716E-08</v>
      </c>
      <c r="L22" s="173">
        <f t="shared" si="9"/>
        <v>-3.4977660893582754E-06</v>
      </c>
      <c r="M22" s="173">
        <f t="shared" si="9"/>
        <v>1.5821707623048763E-06</v>
      </c>
      <c r="N22" s="173">
        <f t="shared" si="9"/>
        <v>-1.7117052796234919E-06</v>
      </c>
      <c r="O22" s="173">
        <f t="shared" si="9"/>
        <v>-4.370284009749814E-06</v>
      </c>
      <c r="P22" s="173">
        <f>P20-P21</f>
        <v>-7.739549285985716E-07</v>
      </c>
    </row>
    <row r="23" spans="4:5" ht="11.25">
      <c r="D23" s="174"/>
      <c r="E23" s="174"/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L1">
      <selection activeCell="O22" sqref="O22"/>
    </sheetView>
  </sheetViews>
  <sheetFormatPr defaultColWidth="12" defaultRowHeight="11.25"/>
  <cols>
    <col min="1" max="1" width="7" style="0" customWidth="1"/>
    <col min="3" max="3" width="40.83203125" style="0" customWidth="1"/>
    <col min="4" max="4" width="42.33203125" style="0" customWidth="1"/>
    <col min="5" max="5" width="18.83203125" style="0" customWidth="1"/>
    <col min="6" max="6" width="31.16015625" style="0" customWidth="1"/>
    <col min="7" max="7" width="15.33203125" style="0" customWidth="1"/>
    <col min="8" max="8" width="10.16015625" style="0" customWidth="1"/>
    <col min="9" max="9" width="9.66015625" style="0" customWidth="1"/>
    <col min="10" max="10" width="10" style="0" customWidth="1"/>
    <col min="11" max="11" width="10.33203125" style="0" customWidth="1"/>
    <col min="12" max="12" width="8.83203125" style="0" customWidth="1"/>
    <col min="13" max="13" width="9.33203125" style="0" customWidth="1"/>
    <col min="14" max="14" width="8.5" style="0" customWidth="1"/>
    <col min="15" max="15" width="8.16015625" style="0" customWidth="1"/>
    <col min="16" max="16" width="9.16015625" style="0" customWidth="1"/>
    <col min="17" max="17" width="8" style="0" customWidth="1"/>
    <col min="18" max="18" width="8.5" style="0" customWidth="1"/>
    <col min="19" max="19" width="8.83203125" style="0" customWidth="1"/>
  </cols>
  <sheetData>
    <row r="1" spans="1:3" ht="11.25">
      <c r="A1" s="142" t="s">
        <v>322</v>
      </c>
      <c r="B1" s="142"/>
      <c r="C1" s="142"/>
    </row>
    <row r="2" ht="12" thickBot="1"/>
    <row r="3" spans="2:19" ht="29.25" customHeight="1" thickBot="1">
      <c r="B3" s="229" t="s">
        <v>249</v>
      </c>
      <c r="C3" s="230"/>
      <c r="D3" s="116" t="s">
        <v>235</v>
      </c>
      <c r="E3" s="46" t="s">
        <v>247</v>
      </c>
      <c r="F3" s="46" t="s">
        <v>255</v>
      </c>
      <c r="G3" s="46">
        <v>1991</v>
      </c>
      <c r="H3" s="46">
        <f>G3+1</f>
        <v>1992</v>
      </c>
      <c r="I3" s="46">
        <f aca="true" t="shared" si="0" ref="I3:S3">H3+1</f>
        <v>1993</v>
      </c>
      <c r="J3" s="46">
        <f t="shared" si="0"/>
        <v>1994</v>
      </c>
      <c r="K3" s="46">
        <f t="shared" si="0"/>
        <v>1995</v>
      </c>
      <c r="L3" s="46">
        <f t="shared" si="0"/>
        <v>1996</v>
      </c>
      <c r="M3" s="46">
        <f t="shared" si="0"/>
        <v>1997</v>
      </c>
      <c r="N3" s="46">
        <f t="shared" si="0"/>
        <v>1998</v>
      </c>
      <c r="O3" s="46">
        <f t="shared" si="0"/>
        <v>1999</v>
      </c>
      <c r="P3" s="46">
        <f t="shared" si="0"/>
        <v>2000</v>
      </c>
      <c r="Q3" s="46">
        <f t="shared" si="0"/>
        <v>2001</v>
      </c>
      <c r="R3" s="46">
        <f t="shared" si="0"/>
        <v>2002</v>
      </c>
      <c r="S3" s="46">
        <f t="shared" si="0"/>
        <v>2003</v>
      </c>
    </row>
    <row r="4" spans="2:19" ht="34.5" customHeight="1" thickBot="1">
      <c r="B4" s="233" t="s">
        <v>250</v>
      </c>
      <c r="C4" s="18" t="s">
        <v>443</v>
      </c>
      <c r="D4" s="17" t="s">
        <v>236</v>
      </c>
      <c r="E4" s="145" t="s">
        <v>238</v>
      </c>
      <c r="F4" s="145" t="s">
        <v>251</v>
      </c>
      <c r="G4" s="3">
        <f>'2_Recap Taux pour EMTR'!E5</f>
        <v>0.383528</v>
      </c>
      <c r="H4" s="3">
        <f>'2_Recap Taux pour EMTR'!F5</f>
        <v>0.389528</v>
      </c>
      <c r="I4" s="3">
        <f>'2_Recap Taux pour EMTR'!G5</f>
        <v>0.397952</v>
      </c>
      <c r="J4" s="3">
        <f>'2_Recap Taux pour EMTR'!H5</f>
        <v>0.397952</v>
      </c>
      <c r="K4" s="3">
        <f>'2_Recap Taux pour EMTR'!I5</f>
        <v>0.398</v>
      </c>
      <c r="L4" s="3">
        <f>'2_Recap Taux pour EMTR'!J5</f>
        <v>0.398</v>
      </c>
      <c r="M4" s="3">
        <f>'2_Recap Taux pour EMTR'!K5</f>
        <v>0.398</v>
      </c>
      <c r="N4" s="3">
        <f>'2_Recap Taux pour EMTR'!L5</f>
        <v>0.38501199999999997</v>
      </c>
      <c r="O4" s="3">
        <f>'2_Recap Taux pour EMTR'!M5</f>
        <v>0.33501000000000003</v>
      </c>
      <c r="P4" s="3">
        <f>'2_Recap Taux pour EMTR'!N5</f>
        <v>0.33201</v>
      </c>
      <c r="Q4" s="3">
        <f>'2_Recap Taux pour EMTR'!O5</f>
        <v>0.32801</v>
      </c>
      <c r="R4" s="3">
        <f>'2_Recap Taux pour EMTR'!P5</f>
        <v>0.32302000000000003</v>
      </c>
      <c r="S4" s="3">
        <f>'2_Recap Taux pour EMTR'!Q5</f>
        <v>0.31751999999999997</v>
      </c>
    </row>
    <row r="5" spans="2:19" ht="34.5" customHeight="1" thickBot="1">
      <c r="B5" s="234"/>
      <c r="C5" s="18" t="s">
        <v>444</v>
      </c>
      <c r="D5" s="18" t="s">
        <v>340</v>
      </c>
      <c r="E5" s="145" t="s">
        <v>245</v>
      </c>
      <c r="F5" s="145" t="s">
        <v>252</v>
      </c>
      <c r="G5" s="3">
        <f>G4/(1+G4)</f>
        <v>0.27721014681307493</v>
      </c>
      <c r="H5" s="3">
        <f aca="true" t="shared" si="1" ref="H5:S5">H4/(1+H4)</f>
        <v>0.2803311628121204</v>
      </c>
      <c r="I5" s="3">
        <f t="shared" si="1"/>
        <v>0.2846678569793526</v>
      </c>
      <c r="J5" s="3">
        <f t="shared" si="1"/>
        <v>0.2846678569793526</v>
      </c>
      <c r="K5" s="3">
        <f t="shared" si="1"/>
        <v>0.284692417739628</v>
      </c>
      <c r="L5" s="3">
        <f t="shared" si="1"/>
        <v>0.284692417739628</v>
      </c>
      <c r="M5" s="3">
        <f t="shared" si="1"/>
        <v>0.284692417739628</v>
      </c>
      <c r="N5" s="3">
        <f t="shared" si="1"/>
        <v>0.2779845950793206</v>
      </c>
      <c r="O5" s="3">
        <f t="shared" si="1"/>
        <v>0.25094194050980895</v>
      </c>
      <c r="P5" s="3">
        <f t="shared" si="1"/>
        <v>0.24925488547383282</v>
      </c>
      <c r="Q5" s="3">
        <f t="shared" si="1"/>
        <v>0.2469936220359787</v>
      </c>
      <c r="R5" s="3">
        <f t="shared" si="1"/>
        <v>0.244153527535487</v>
      </c>
      <c r="S5" s="3">
        <f t="shared" si="1"/>
        <v>0.24099823911591473</v>
      </c>
    </row>
    <row r="6" spans="2:19" ht="8.25" customHeight="1" thickBot="1">
      <c r="B6" s="146"/>
      <c r="C6" s="146"/>
      <c r="D6" s="146"/>
      <c r="E6" s="102"/>
      <c r="F6" s="102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</row>
    <row r="7" spans="2:19" ht="19.5" customHeight="1" thickBot="1">
      <c r="B7" s="233" t="s">
        <v>4</v>
      </c>
      <c r="C7" s="231" t="s">
        <v>445</v>
      </c>
      <c r="D7" s="18" t="s">
        <v>236</v>
      </c>
      <c r="E7" s="145" t="s">
        <v>243</v>
      </c>
      <c r="F7" s="145" t="s">
        <v>251</v>
      </c>
      <c r="G7" s="3">
        <f>G4</f>
        <v>0.383528</v>
      </c>
      <c r="H7" s="3">
        <f aca="true" t="shared" si="2" ref="H7:S7">H4</f>
        <v>0.389528</v>
      </c>
      <c r="I7" s="3">
        <f t="shared" si="2"/>
        <v>0.397952</v>
      </c>
      <c r="J7" s="3">
        <f t="shared" si="2"/>
        <v>0.397952</v>
      </c>
      <c r="K7" s="3">
        <f t="shared" si="2"/>
        <v>0.398</v>
      </c>
      <c r="L7" s="3">
        <f t="shared" si="2"/>
        <v>0.398</v>
      </c>
      <c r="M7" s="3">
        <f t="shared" si="2"/>
        <v>0.398</v>
      </c>
      <c r="N7" s="3">
        <f t="shared" si="2"/>
        <v>0.38501199999999997</v>
      </c>
      <c r="O7" s="3">
        <f t="shared" si="2"/>
        <v>0.33501000000000003</v>
      </c>
      <c r="P7" s="3">
        <f t="shared" si="2"/>
        <v>0.33201</v>
      </c>
      <c r="Q7" s="3">
        <f t="shared" si="2"/>
        <v>0.32801</v>
      </c>
      <c r="R7" s="3">
        <f t="shared" si="2"/>
        <v>0.32302000000000003</v>
      </c>
      <c r="S7" s="3">
        <f t="shared" si="2"/>
        <v>0.31751999999999997</v>
      </c>
    </row>
    <row r="8" spans="2:19" ht="19.5" customHeight="1" thickBot="1">
      <c r="B8" s="235"/>
      <c r="C8" s="232"/>
      <c r="D8" s="18" t="s">
        <v>237</v>
      </c>
      <c r="E8" s="145" t="s">
        <v>244</v>
      </c>
      <c r="F8" s="145" t="s">
        <v>253</v>
      </c>
      <c r="G8" s="3">
        <f>'2_Recap Taux pour EMTR'!E6</f>
        <v>0.0087882</v>
      </c>
      <c r="H8" s="3">
        <f>'2_Recap Taux pour EMTR'!F6</f>
        <v>0.0089382</v>
      </c>
      <c r="I8" s="3">
        <f>'2_Recap Taux pour EMTR'!G6</f>
        <v>0.0091488</v>
      </c>
      <c r="J8" s="3">
        <f>'2_Recap Taux pour EMTR'!H6</f>
        <v>0.0091488</v>
      </c>
      <c r="K8" s="3">
        <f>'2_Recap Taux pour EMTR'!I6</f>
        <v>0.0091</v>
      </c>
      <c r="L8" s="3">
        <f>'2_Recap Taux pour EMTR'!J6</f>
        <v>0.0091</v>
      </c>
      <c r="M8" s="3">
        <f>'2_Recap Taux pour EMTR'!K6</f>
        <v>0.0091</v>
      </c>
      <c r="N8" s="3">
        <f>'2_Recap Taux pour EMTR'!L6</f>
        <v>0.0075003</v>
      </c>
      <c r="O8" s="3">
        <f>'2_Recap Taux pour EMTR'!M6</f>
        <v>0.0075003</v>
      </c>
      <c r="P8" s="3">
        <f>'2_Recap Taux pour EMTR'!N6</f>
        <v>0.0074103</v>
      </c>
      <c r="Q8" s="3">
        <f>'2_Recap Taux pour EMTR'!O6</f>
        <v>0.0072902999999999996</v>
      </c>
      <c r="R8" s="3">
        <f>'2_Recap Taux pour EMTR'!P6</f>
        <v>0.0071405999999999996</v>
      </c>
      <c r="S8" s="3">
        <f>'2_Recap Taux pour EMTR'!Q6</f>
        <v>0.006975599999999999</v>
      </c>
    </row>
    <row r="9" spans="2:19" ht="3.75" customHeight="1" thickBot="1">
      <c r="B9" s="235"/>
      <c r="C9" s="147"/>
      <c r="D9" s="18"/>
      <c r="E9" s="145"/>
      <c r="F9" s="14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ht="18.75" customHeight="1" thickBot="1">
      <c r="B10" s="235"/>
      <c r="C10" s="231" t="s">
        <v>446</v>
      </c>
      <c r="D10" s="18" t="s">
        <v>242</v>
      </c>
      <c r="E10" s="145" t="s">
        <v>246</v>
      </c>
      <c r="F10" s="145" t="s">
        <v>254</v>
      </c>
      <c r="G10" s="3">
        <f>G7*(1-G8)/(1+G7)</f>
        <v>0.2747739686008523</v>
      </c>
      <c r="H10" s="3">
        <f aca="true" t="shared" si="3" ref="H10:S10">H7*(1-H8)/(1+H7)</f>
        <v>0.2778255068126731</v>
      </c>
      <c r="I10" s="3">
        <f t="shared" si="3"/>
        <v>0.2820634876894199</v>
      </c>
      <c r="J10" s="3">
        <f t="shared" si="3"/>
        <v>0.2820634876894199</v>
      </c>
      <c r="K10" s="3">
        <f t="shared" si="3"/>
        <v>0.2821017167381974</v>
      </c>
      <c r="L10" s="3">
        <f t="shared" si="3"/>
        <v>0.2821017167381974</v>
      </c>
      <c r="M10" s="3">
        <f t="shared" si="3"/>
        <v>0.2821017167381974</v>
      </c>
      <c r="N10" s="3">
        <f t="shared" si="3"/>
        <v>0.27589962722084715</v>
      </c>
      <c r="O10" s="3">
        <f t="shared" si="3"/>
        <v>0.24905980067340322</v>
      </c>
      <c r="P10" s="3">
        <f t="shared" si="3"/>
        <v>0.24740783199600608</v>
      </c>
      <c r="Q10" s="3">
        <f t="shared" si="3"/>
        <v>0.2451929644332498</v>
      </c>
      <c r="R10" s="3">
        <f t="shared" si="3"/>
        <v>0.24241012485676708</v>
      </c>
      <c r="S10" s="3">
        <f t="shared" si="3"/>
        <v>0.23931713179913777</v>
      </c>
    </row>
    <row r="11" spans="2:19" ht="20.25" customHeight="1" thickBot="1">
      <c r="B11" s="234"/>
      <c r="C11" s="232"/>
      <c r="D11" s="18" t="s">
        <v>237</v>
      </c>
      <c r="E11" s="145" t="s">
        <v>244</v>
      </c>
      <c r="F11" s="145" t="s">
        <v>244</v>
      </c>
      <c r="G11" s="3">
        <f>G8</f>
        <v>0.0087882</v>
      </c>
      <c r="H11" s="3">
        <f aca="true" t="shared" si="4" ref="H11:S11">H8</f>
        <v>0.0089382</v>
      </c>
      <c r="I11" s="3">
        <f t="shared" si="4"/>
        <v>0.0091488</v>
      </c>
      <c r="J11" s="3">
        <f t="shared" si="4"/>
        <v>0.0091488</v>
      </c>
      <c r="K11" s="3">
        <f t="shared" si="4"/>
        <v>0.0091</v>
      </c>
      <c r="L11" s="3">
        <f t="shared" si="4"/>
        <v>0.0091</v>
      </c>
      <c r="M11" s="3">
        <f t="shared" si="4"/>
        <v>0.0091</v>
      </c>
      <c r="N11" s="3">
        <f t="shared" si="4"/>
        <v>0.0075003</v>
      </c>
      <c r="O11" s="3">
        <f t="shared" si="4"/>
        <v>0.0075003</v>
      </c>
      <c r="P11" s="3">
        <f t="shared" si="4"/>
        <v>0.0074103</v>
      </c>
      <c r="Q11" s="3">
        <f t="shared" si="4"/>
        <v>0.0072902999999999996</v>
      </c>
      <c r="R11" s="3">
        <f t="shared" si="4"/>
        <v>0.0071405999999999996</v>
      </c>
      <c r="S11" s="3">
        <f t="shared" si="4"/>
        <v>0.006975599999999999</v>
      </c>
    </row>
    <row r="12" spans="2:19" ht="6.75" customHeight="1" thickBot="1">
      <c r="B12" s="209"/>
      <c r="C12" s="207"/>
      <c r="D12" s="70"/>
      <c r="E12" s="208"/>
      <c r="F12" s="20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 ht="18" thickBot="1">
      <c r="B13" s="223" t="s">
        <v>447</v>
      </c>
      <c r="C13" s="224"/>
      <c r="D13" s="183" t="s">
        <v>448</v>
      </c>
      <c r="E13" s="184" t="s">
        <v>449</v>
      </c>
      <c r="F13" s="184" t="s">
        <v>449</v>
      </c>
      <c r="G13" s="88">
        <f>G10+G11</f>
        <v>0.2835621686008523</v>
      </c>
      <c r="H13" s="88">
        <f aca="true" t="shared" si="5" ref="H13:S13">H10+H11</f>
        <v>0.2867637068126731</v>
      </c>
      <c r="I13" s="88">
        <f t="shared" si="5"/>
        <v>0.2912122876894199</v>
      </c>
      <c r="J13" s="88">
        <f t="shared" si="5"/>
        <v>0.2912122876894199</v>
      </c>
      <c r="K13" s="88">
        <f t="shared" si="5"/>
        <v>0.2912017167381974</v>
      </c>
      <c r="L13" s="88">
        <f t="shared" si="5"/>
        <v>0.2912017167381974</v>
      </c>
      <c r="M13" s="88">
        <f t="shared" si="5"/>
        <v>0.2912017167381974</v>
      </c>
      <c r="N13" s="88">
        <f t="shared" si="5"/>
        <v>0.28339992722084717</v>
      </c>
      <c r="O13" s="88">
        <f t="shared" si="5"/>
        <v>0.25656010067340324</v>
      </c>
      <c r="P13" s="88">
        <f t="shared" si="5"/>
        <v>0.25481813199600606</v>
      </c>
      <c r="Q13" s="88">
        <f t="shared" si="5"/>
        <v>0.2524832644332498</v>
      </c>
      <c r="R13" s="88">
        <f t="shared" si="5"/>
        <v>0.24955072485676708</v>
      </c>
      <c r="S13" s="88">
        <f t="shared" si="5"/>
        <v>0.24629273179913777</v>
      </c>
    </row>
    <row r="14" spans="2:19" ht="26.25" thickBot="1">
      <c r="B14" s="225"/>
      <c r="C14" s="226"/>
      <c r="D14" s="183" t="s">
        <v>450</v>
      </c>
      <c r="E14" s="185" t="s">
        <v>451</v>
      </c>
      <c r="F14" s="185" t="s">
        <v>462</v>
      </c>
      <c r="G14" s="88">
        <f>'3_Synthèse calcul taux_et cfis'!E25</f>
        <v>0.2835621686008523</v>
      </c>
      <c r="H14" s="88">
        <f>'3_Synthèse calcul taux_et cfis'!F25</f>
        <v>0.2867637068126731</v>
      </c>
      <c r="I14" s="88">
        <f>'3_Synthèse calcul taux_et cfis'!G25</f>
        <v>0.2912122876894199</v>
      </c>
      <c r="J14" s="88">
        <f>'3_Synthèse calcul taux_et cfis'!H25</f>
        <v>0.2912122876894199</v>
      </c>
      <c r="K14" s="88">
        <f>'3_Synthèse calcul taux_et cfis'!I25</f>
        <v>0.2912017167381974</v>
      </c>
      <c r="L14" s="88">
        <f>'3_Synthèse calcul taux_et cfis'!J25</f>
        <v>0.2912017167381974</v>
      </c>
      <c r="M14" s="88">
        <f>'3_Synthèse calcul taux_et cfis'!K25</f>
        <v>0.2912017167381974</v>
      </c>
      <c r="N14" s="88">
        <f>'3_Synthèse calcul taux_et cfis'!L25</f>
        <v>0.28339992722084717</v>
      </c>
      <c r="O14" s="88">
        <f>'3_Synthèse calcul taux_et cfis'!M25</f>
        <v>0.25656010067340324</v>
      </c>
      <c r="P14" s="88">
        <f>'3_Synthèse calcul taux_et cfis'!N25</f>
        <v>0.25481813199600606</v>
      </c>
      <c r="Q14" s="88">
        <f>'3_Synthèse calcul taux_et cfis'!O25</f>
        <v>0.2524832644332498</v>
      </c>
      <c r="R14" s="88">
        <f>'3_Synthèse calcul taux_et cfis'!P25</f>
        <v>0.24955072485676708</v>
      </c>
      <c r="S14" s="88">
        <f>'3_Synthèse calcul taux_et cfis'!Q25</f>
        <v>0.24629273179913777</v>
      </c>
    </row>
    <row r="15" spans="2:19" ht="18" thickBot="1">
      <c r="B15" s="225"/>
      <c r="C15" s="226"/>
      <c r="D15" s="186" t="s">
        <v>452</v>
      </c>
      <c r="E15" s="187" t="s">
        <v>59</v>
      </c>
      <c r="F15" s="185" t="s">
        <v>454</v>
      </c>
      <c r="G15" s="88">
        <f>'3_Synthèse calcul taux_et cfis'!E26</f>
        <v>0.283556</v>
      </c>
      <c r="H15" s="13">
        <f>'3_Synthèse calcul taux_et cfis'!F26</f>
        <v>0.28675</v>
      </c>
      <c r="I15" s="13">
        <f>'3_Synthèse calcul taux_et cfis'!G26</f>
        <v>0.291217</v>
      </c>
      <c r="J15" s="13">
        <f>'3_Synthèse calcul taux_et cfis'!H26</f>
        <v>0.291217</v>
      </c>
      <c r="K15" s="13">
        <f>'3_Synthèse calcul taux_et cfis'!I26</f>
        <v>0.291202</v>
      </c>
      <c r="L15" s="13">
        <f>'3_Synthèse calcul taux_et cfis'!J26</f>
        <v>0.291202</v>
      </c>
      <c r="M15" s="13">
        <f>'3_Synthèse calcul taux_et cfis'!K26</f>
        <v>0.291211</v>
      </c>
      <c r="N15" s="13">
        <f>'3_Synthèse calcul taux_et cfis'!L26</f>
        <v>0.2834</v>
      </c>
      <c r="O15" s="13">
        <f>'3_Synthèse calcul taux_et cfis'!M26</f>
        <v>0.256547</v>
      </c>
      <c r="P15" s="13">
        <f>'3_Synthèse calcul taux_et cfis'!N26</f>
        <v>0.254824</v>
      </c>
      <c r="Q15" s="13">
        <f>'3_Synthèse calcul taux_et cfis'!O26</f>
        <v>0.252477</v>
      </c>
      <c r="R15" s="13">
        <f>'3_Synthèse calcul taux_et cfis'!P26</f>
        <v>0.249535</v>
      </c>
      <c r="S15" s="13">
        <f>'3_Synthèse calcul taux_et cfis'!Q26</f>
        <v>0.24629</v>
      </c>
    </row>
    <row r="16" spans="2:19" ht="18" thickBot="1">
      <c r="B16" s="227"/>
      <c r="C16" s="228"/>
      <c r="D16" s="183" t="s">
        <v>453</v>
      </c>
      <c r="E16" s="188" t="s">
        <v>19</v>
      </c>
      <c r="F16" s="189" t="s">
        <v>479</v>
      </c>
      <c r="G16" s="169">
        <f>G13-G14</f>
        <v>0</v>
      </c>
      <c r="H16" s="169">
        <f aca="true" t="shared" si="6" ref="H16:S16">H13-H14</f>
        <v>0</v>
      </c>
      <c r="I16" s="169">
        <f t="shared" si="6"/>
        <v>0</v>
      </c>
      <c r="J16" s="169">
        <f t="shared" si="6"/>
        <v>0</v>
      </c>
      <c r="K16" s="169">
        <f t="shared" si="6"/>
        <v>0</v>
      </c>
      <c r="L16" s="169">
        <f t="shared" si="6"/>
        <v>0</v>
      </c>
      <c r="M16" s="169">
        <f t="shared" si="6"/>
        <v>0</v>
      </c>
      <c r="N16" s="169">
        <f t="shared" si="6"/>
        <v>0</v>
      </c>
      <c r="O16" s="169">
        <f t="shared" si="6"/>
        <v>0</v>
      </c>
      <c r="P16" s="169">
        <f t="shared" si="6"/>
        <v>0</v>
      </c>
      <c r="Q16" s="169">
        <f t="shared" si="6"/>
        <v>0</v>
      </c>
      <c r="R16" s="169">
        <f t="shared" si="6"/>
        <v>0</v>
      </c>
      <c r="S16" s="169">
        <f t="shared" si="6"/>
        <v>0</v>
      </c>
    </row>
    <row r="17" spans="8:17" ht="11.25"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8:23" ht="11.25"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ht="11.25">
      <c r="H19" s="7"/>
    </row>
    <row r="20" spans="8:13" ht="11.25">
      <c r="H20" s="7"/>
      <c r="I20" s="7"/>
      <c r="J20" s="7"/>
      <c r="K20" s="7"/>
      <c r="L20" s="7"/>
      <c r="M20" s="7"/>
    </row>
    <row r="21" spans="8:16" ht="11.25">
      <c r="H21" s="7"/>
      <c r="I21" s="7"/>
      <c r="J21" s="7"/>
      <c r="K21" s="7"/>
      <c r="L21" s="7"/>
      <c r="M21" s="7"/>
      <c r="N21" s="7"/>
      <c r="O21" s="7"/>
      <c r="P21" s="7"/>
    </row>
    <row r="22" ht="11.25">
      <c r="H22" s="7"/>
    </row>
  </sheetData>
  <mergeCells count="6">
    <mergeCell ref="B13:C16"/>
    <mergeCell ref="B3:C3"/>
    <mergeCell ref="C7:C8"/>
    <mergeCell ref="C10:C11"/>
    <mergeCell ref="B4:B5"/>
    <mergeCell ref="B7:B11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G4">
      <selection activeCell="L5" sqref="L5"/>
    </sheetView>
  </sheetViews>
  <sheetFormatPr defaultColWidth="12" defaultRowHeight="11.25"/>
  <cols>
    <col min="1" max="1" width="7" style="0" customWidth="1"/>
    <col min="2" max="2" width="14.66015625" style="0" customWidth="1"/>
    <col min="3" max="3" width="58.66015625" style="0" customWidth="1"/>
    <col min="4" max="4" width="31.16015625" style="0" customWidth="1"/>
    <col min="5" max="5" width="11.66015625" style="0" customWidth="1"/>
    <col min="6" max="6" width="11.83203125" style="0" customWidth="1"/>
    <col min="7" max="7" width="10" style="0" customWidth="1"/>
    <col min="9" max="9" width="10.5" style="0" customWidth="1"/>
    <col min="10" max="10" width="9.83203125" style="0" customWidth="1"/>
    <col min="11" max="11" width="10.16015625" style="0" customWidth="1"/>
    <col min="12" max="12" width="14.33203125" style="0" customWidth="1"/>
    <col min="13" max="13" width="12.33203125" style="0" customWidth="1"/>
    <col min="14" max="14" width="9.83203125" style="0" customWidth="1"/>
    <col min="15" max="15" width="11" style="0" customWidth="1"/>
    <col min="16" max="16" width="11.5" style="0" customWidth="1"/>
    <col min="17" max="17" width="10.5" style="0" customWidth="1"/>
  </cols>
  <sheetData>
    <row r="1" ht="11.25">
      <c r="A1" s="142" t="s">
        <v>322</v>
      </c>
    </row>
    <row r="3" ht="12" thickBot="1"/>
    <row r="4" spans="2:17" ht="24.75" customHeight="1" thickBot="1">
      <c r="B4" s="236" t="s">
        <v>272</v>
      </c>
      <c r="C4" s="237"/>
      <c r="D4" s="19" t="s">
        <v>1</v>
      </c>
      <c r="E4" s="139">
        <v>1991</v>
      </c>
      <c r="F4" s="140">
        <f aca="true" t="shared" si="0" ref="F4:Q4">E4+1</f>
        <v>1992</v>
      </c>
      <c r="G4" s="140">
        <f t="shared" si="0"/>
        <v>1993</v>
      </c>
      <c r="H4" s="140">
        <f t="shared" si="0"/>
        <v>1994</v>
      </c>
      <c r="I4" s="140">
        <f t="shared" si="0"/>
        <v>1995</v>
      </c>
      <c r="J4" s="140">
        <f t="shared" si="0"/>
        <v>1996</v>
      </c>
      <c r="K4" s="140">
        <f t="shared" si="0"/>
        <v>1997</v>
      </c>
      <c r="L4" s="140">
        <f t="shared" si="0"/>
        <v>1998</v>
      </c>
      <c r="M4" s="140">
        <f t="shared" si="0"/>
        <v>1999</v>
      </c>
      <c r="N4" s="140">
        <f t="shared" si="0"/>
        <v>2000</v>
      </c>
      <c r="O4" s="140">
        <f t="shared" si="0"/>
        <v>2001</v>
      </c>
      <c r="P4" s="140">
        <f t="shared" si="0"/>
        <v>2002</v>
      </c>
      <c r="Q4" s="140">
        <f t="shared" si="0"/>
        <v>2003</v>
      </c>
    </row>
    <row r="5" spans="2:17" ht="32.25" customHeight="1" thickBot="1">
      <c r="B5" s="235" t="s">
        <v>2</v>
      </c>
      <c r="C5" s="17" t="s">
        <v>183</v>
      </c>
      <c r="D5" s="87" t="s">
        <v>256</v>
      </c>
      <c r="E5" s="94">
        <f>'3_Synthèse calcul taux_et cfis'!E14</f>
        <v>0.383528</v>
      </c>
      <c r="F5" s="94">
        <f>'3_Synthèse calcul taux_et cfis'!F14</f>
        <v>0.389528</v>
      </c>
      <c r="G5" s="94">
        <f>'3_Synthèse calcul taux_et cfis'!G14</f>
        <v>0.397952</v>
      </c>
      <c r="H5" s="94">
        <f>'3_Synthèse calcul taux_et cfis'!H14</f>
        <v>0.397952</v>
      </c>
      <c r="I5" s="94">
        <f>'3_Synthèse calcul taux_et cfis'!I14</f>
        <v>0.398</v>
      </c>
      <c r="J5" s="94">
        <f>'3_Synthèse calcul taux_et cfis'!J14</f>
        <v>0.398</v>
      </c>
      <c r="K5" s="94">
        <f>'3_Synthèse calcul taux_et cfis'!K14</f>
        <v>0.398</v>
      </c>
      <c r="L5" s="94">
        <f>'3_Synthèse calcul taux_et cfis'!L14</f>
        <v>0.38501199999999997</v>
      </c>
      <c r="M5" s="94">
        <f>'3_Synthèse calcul taux_et cfis'!M14</f>
        <v>0.33501000000000003</v>
      </c>
      <c r="N5" s="94">
        <f>'3_Synthèse calcul taux_et cfis'!N14</f>
        <v>0.33201</v>
      </c>
      <c r="O5" s="94">
        <f>'3_Synthèse calcul taux_et cfis'!O14</f>
        <v>0.32801</v>
      </c>
      <c r="P5" s="94">
        <f>'3_Synthèse calcul taux_et cfis'!P14</f>
        <v>0.32302000000000003</v>
      </c>
      <c r="Q5" s="180">
        <f>'3_Synthèse calcul taux_et cfis'!Q14</f>
        <v>0.31751999999999997</v>
      </c>
    </row>
    <row r="6" spans="2:17" ht="51" customHeight="1" thickBot="1">
      <c r="B6" s="235"/>
      <c r="C6" s="17" t="s">
        <v>258</v>
      </c>
      <c r="D6" s="87" t="s">
        <v>259</v>
      </c>
      <c r="E6" s="95">
        <f>'3_Synthèse calcul taux_et cfis'!E21</f>
        <v>0.0087882</v>
      </c>
      <c r="F6" s="95">
        <f>'3_Synthèse calcul taux_et cfis'!F21</f>
        <v>0.0089382</v>
      </c>
      <c r="G6" s="95">
        <f>'3_Synthèse calcul taux_et cfis'!G21</f>
        <v>0.0091488</v>
      </c>
      <c r="H6" s="95">
        <f>'3_Synthèse calcul taux_et cfis'!H21</f>
        <v>0.0091488</v>
      </c>
      <c r="I6" s="95">
        <f>'3_Synthèse calcul taux_et cfis'!I21</f>
        <v>0.0091</v>
      </c>
      <c r="J6" s="95">
        <f>'3_Synthèse calcul taux_et cfis'!J21</f>
        <v>0.0091</v>
      </c>
      <c r="K6" s="95">
        <f>'3_Synthèse calcul taux_et cfis'!K21</f>
        <v>0.0091</v>
      </c>
      <c r="L6" s="95">
        <f>'3_Synthèse calcul taux_et cfis'!L21</f>
        <v>0.0075003</v>
      </c>
      <c r="M6" s="95">
        <f>'3_Synthèse calcul taux_et cfis'!M21</f>
        <v>0.0075003</v>
      </c>
      <c r="N6" s="95">
        <f>'3_Synthèse calcul taux_et cfis'!N21</f>
        <v>0.0074103</v>
      </c>
      <c r="O6" s="95">
        <f>'3_Synthèse calcul taux_et cfis'!O21</f>
        <v>0.0072902999999999996</v>
      </c>
      <c r="P6" s="95">
        <f>'3_Synthèse calcul taux_et cfis'!P21</f>
        <v>0.0071405999999999996</v>
      </c>
      <c r="Q6" s="179">
        <f>'3_Synthèse calcul taux_et cfis'!Q21</f>
        <v>0.006975599999999999</v>
      </c>
    </row>
    <row r="7" spans="2:17" ht="6.75" customHeight="1" thickBot="1">
      <c r="B7" s="96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2:17" ht="31.5" customHeight="1" thickBot="1">
      <c r="B8" s="233" t="s">
        <v>3</v>
      </c>
      <c r="C8" s="18" t="s">
        <v>184</v>
      </c>
      <c r="D8" s="148" t="s">
        <v>257</v>
      </c>
      <c r="E8" s="97">
        <f>E5*(1-E6)/(1+E5)</f>
        <v>0.2747739686008523</v>
      </c>
      <c r="F8" s="97">
        <f aca="true" t="shared" si="1" ref="F8:K8">F5*(1-F6)/(1+F5)</f>
        <v>0.2778255068126731</v>
      </c>
      <c r="G8" s="97">
        <f t="shared" si="1"/>
        <v>0.2820634876894199</v>
      </c>
      <c r="H8" s="97">
        <f t="shared" si="1"/>
        <v>0.2820634876894199</v>
      </c>
      <c r="I8" s="97">
        <f t="shared" si="1"/>
        <v>0.2821017167381974</v>
      </c>
      <c r="J8" s="97">
        <f t="shared" si="1"/>
        <v>0.2821017167381974</v>
      </c>
      <c r="K8" s="97">
        <f t="shared" si="1"/>
        <v>0.2821017167381974</v>
      </c>
      <c r="L8" s="97">
        <f aca="true" t="shared" si="2" ref="L8:Q8">L5*(1-L6)/(1+L5)</f>
        <v>0.27589962722084715</v>
      </c>
      <c r="M8" s="97">
        <f t="shared" si="2"/>
        <v>0.24905980067340322</v>
      </c>
      <c r="N8" s="97">
        <f t="shared" si="2"/>
        <v>0.24740783199600608</v>
      </c>
      <c r="O8" s="97">
        <f t="shared" si="2"/>
        <v>0.2451929644332498</v>
      </c>
      <c r="P8" s="97">
        <f t="shared" si="2"/>
        <v>0.24241012485676708</v>
      </c>
      <c r="Q8" s="98">
        <f t="shared" si="2"/>
        <v>0.23931713179913777</v>
      </c>
    </row>
    <row r="9" spans="2:17" ht="39" customHeight="1" thickBot="1">
      <c r="B9" s="234"/>
      <c r="C9" s="18" t="s">
        <v>101</v>
      </c>
      <c r="D9" s="148" t="s">
        <v>260</v>
      </c>
      <c r="E9" s="98">
        <f>E6</f>
        <v>0.0087882</v>
      </c>
      <c r="F9" s="98">
        <f aca="true" t="shared" si="3" ref="F9:K9">F6</f>
        <v>0.0089382</v>
      </c>
      <c r="G9" s="98">
        <f t="shared" si="3"/>
        <v>0.0091488</v>
      </c>
      <c r="H9" s="98">
        <f t="shared" si="3"/>
        <v>0.0091488</v>
      </c>
      <c r="I9" s="98">
        <f t="shared" si="3"/>
        <v>0.0091</v>
      </c>
      <c r="J9" s="98">
        <f t="shared" si="3"/>
        <v>0.0091</v>
      </c>
      <c r="K9" s="98">
        <f t="shared" si="3"/>
        <v>0.0091</v>
      </c>
      <c r="L9" s="98">
        <f aca="true" t="shared" si="4" ref="L9:Q9">L6</f>
        <v>0.0075003</v>
      </c>
      <c r="M9" s="98">
        <f t="shared" si="4"/>
        <v>0.0075003</v>
      </c>
      <c r="N9" s="98">
        <f t="shared" si="4"/>
        <v>0.0074103</v>
      </c>
      <c r="O9" s="98">
        <f t="shared" si="4"/>
        <v>0.0072902999999999996</v>
      </c>
      <c r="P9" s="98">
        <f t="shared" si="4"/>
        <v>0.0071405999999999996</v>
      </c>
      <c r="Q9" s="98">
        <f t="shared" si="4"/>
        <v>0.006975599999999999</v>
      </c>
    </row>
    <row r="10" spans="2:17" ht="6.75" customHeight="1" thickBot="1">
      <c r="B10" s="190"/>
      <c r="C10" s="70"/>
      <c r="D10" s="205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</row>
    <row r="11" spans="2:17" ht="18" thickBot="1">
      <c r="B11" s="238" t="s">
        <v>447</v>
      </c>
      <c r="C11" s="183" t="s">
        <v>448</v>
      </c>
      <c r="D11" s="184" t="s">
        <v>449</v>
      </c>
      <c r="E11" s="88">
        <f>E8+E9</f>
        <v>0.2835621686008523</v>
      </c>
      <c r="F11" s="88">
        <f aca="true" t="shared" si="5" ref="F11:Q11">F8+F9</f>
        <v>0.2867637068126731</v>
      </c>
      <c r="G11" s="88">
        <f t="shared" si="5"/>
        <v>0.2912122876894199</v>
      </c>
      <c r="H11" s="88">
        <f t="shared" si="5"/>
        <v>0.2912122876894199</v>
      </c>
      <c r="I11" s="88">
        <f t="shared" si="5"/>
        <v>0.2912017167381974</v>
      </c>
      <c r="J11" s="88">
        <f t="shared" si="5"/>
        <v>0.2912017167381974</v>
      </c>
      <c r="K11" s="88">
        <f t="shared" si="5"/>
        <v>0.2912017167381974</v>
      </c>
      <c r="L11" s="88">
        <f t="shared" si="5"/>
        <v>0.28339992722084717</v>
      </c>
      <c r="M11" s="88">
        <f t="shared" si="5"/>
        <v>0.25656010067340324</v>
      </c>
      <c r="N11" s="88">
        <f t="shared" si="5"/>
        <v>0.25481813199600606</v>
      </c>
      <c r="O11" s="88">
        <f t="shared" si="5"/>
        <v>0.2524832644332498</v>
      </c>
      <c r="P11" s="88">
        <f t="shared" si="5"/>
        <v>0.24955072485676708</v>
      </c>
      <c r="Q11" s="88">
        <f t="shared" si="5"/>
        <v>0.24629273179913777</v>
      </c>
    </row>
    <row r="12" spans="2:17" ht="18" thickBot="1">
      <c r="B12" s="239"/>
      <c r="C12" s="183" t="s">
        <v>450</v>
      </c>
      <c r="D12" s="185" t="s">
        <v>463</v>
      </c>
      <c r="E12" s="13">
        <f>'3_Synthèse calcul taux_et cfis'!E25</f>
        <v>0.2835621686008523</v>
      </c>
      <c r="F12" s="13">
        <f>'3_Synthèse calcul taux_et cfis'!F25</f>
        <v>0.2867637068126731</v>
      </c>
      <c r="G12" s="13">
        <f>'3_Synthèse calcul taux_et cfis'!G25</f>
        <v>0.2912122876894199</v>
      </c>
      <c r="H12" s="13">
        <f>'3_Synthèse calcul taux_et cfis'!H25</f>
        <v>0.2912122876894199</v>
      </c>
      <c r="I12" s="13">
        <f>'3_Synthèse calcul taux_et cfis'!I25</f>
        <v>0.2912017167381974</v>
      </c>
      <c r="J12" s="13">
        <f>'3_Synthèse calcul taux_et cfis'!J25</f>
        <v>0.2912017167381974</v>
      </c>
      <c r="K12" s="13">
        <f>'3_Synthèse calcul taux_et cfis'!K25</f>
        <v>0.2912017167381974</v>
      </c>
      <c r="L12" s="13">
        <f>'3_Synthèse calcul taux_et cfis'!L25</f>
        <v>0.28339992722084717</v>
      </c>
      <c r="M12" s="13">
        <f>'3_Synthèse calcul taux_et cfis'!M25</f>
        <v>0.25656010067340324</v>
      </c>
      <c r="N12" s="13">
        <f>'3_Synthèse calcul taux_et cfis'!N25</f>
        <v>0.25481813199600606</v>
      </c>
      <c r="O12" s="13">
        <f>'3_Synthèse calcul taux_et cfis'!O25</f>
        <v>0.2524832644332498</v>
      </c>
      <c r="P12" s="13">
        <f>'3_Synthèse calcul taux_et cfis'!P25</f>
        <v>0.24955072485676708</v>
      </c>
      <c r="Q12" s="13">
        <f>'3_Synthèse calcul taux_et cfis'!Q25</f>
        <v>0.24629273179913777</v>
      </c>
    </row>
    <row r="13" spans="2:17" ht="18" thickBot="1">
      <c r="B13" s="239"/>
      <c r="C13" s="183" t="s">
        <v>452</v>
      </c>
      <c r="D13" s="185" t="s">
        <v>454</v>
      </c>
      <c r="E13" s="13">
        <f>'3_Synthèse calcul taux_et cfis'!E26</f>
        <v>0.283556</v>
      </c>
      <c r="F13" s="13">
        <f>'3_Synthèse calcul taux_et cfis'!F26</f>
        <v>0.28675</v>
      </c>
      <c r="G13" s="13">
        <f>'3_Synthèse calcul taux_et cfis'!G26</f>
        <v>0.291217</v>
      </c>
      <c r="H13" s="13">
        <f>'3_Synthèse calcul taux_et cfis'!H26</f>
        <v>0.291217</v>
      </c>
      <c r="I13" s="13">
        <f>'3_Synthèse calcul taux_et cfis'!I26</f>
        <v>0.291202</v>
      </c>
      <c r="J13" s="13">
        <f>'3_Synthèse calcul taux_et cfis'!J26</f>
        <v>0.291202</v>
      </c>
      <c r="K13" s="13">
        <f>'3_Synthèse calcul taux_et cfis'!K26</f>
        <v>0.291211</v>
      </c>
      <c r="L13" s="13">
        <f>'3_Synthèse calcul taux_et cfis'!L26</f>
        <v>0.2834</v>
      </c>
      <c r="M13" s="13">
        <f>'3_Synthèse calcul taux_et cfis'!M26</f>
        <v>0.256547</v>
      </c>
      <c r="N13" s="13">
        <f>'3_Synthèse calcul taux_et cfis'!N26</f>
        <v>0.254824</v>
      </c>
      <c r="O13" s="13">
        <f>'3_Synthèse calcul taux_et cfis'!O26</f>
        <v>0.252477</v>
      </c>
      <c r="P13" s="13">
        <f>'3_Synthèse calcul taux_et cfis'!P26</f>
        <v>0.249535</v>
      </c>
      <c r="Q13" s="13">
        <f>'3_Synthèse calcul taux_et cfis'!Q26</f>
        <v>0.24629</v>
      </c>
    </row>
    <row r="14" spans="2:17" ht="18" thickBot="1">
      <c r="B14" s="240"/>
      <c r="C14" s="183" t="s">
        <v>455</v>
      </c>
      <c r="D14" s="189" t="s">
        <v>479</v>
      </c>
      <c r="E14" s="169">
        <f>E11-E12</f>
        <v>0</v>
      </c>
      <c r="F14" s="169">
        <f aca="true" t="shared" si="6" ref="F14:Q14">F11-F12</f>
        <v>0</v>
      </c>
      <c r="G14" s="169">
        <f t="shared" si="6"/>
        <v>0</v>
      </c>
      <c r="H14" s="169">
        <f t="shared" si="6"/>
        <v>0</v>
      </c>
      <c r="I14" s="169">
        <f t="shared" si="6"/>
        <v>0</v>
      </c>
      <c r="J14" s="169">
        <f t="shared" si="6"/>
        <v>0</v>
      </c>
      <c r="K14" s="169">
        <f t="shared" si="6"/>
        <v>0</v>
      </c>
      <c r="L14" s="169">
        <f t="shared" si="6"/>
        <v>0</v>
      </c>
      <c r="M14" s="169">
        <f t="shared" si="6"/>
        <v>0</v>
      </c>
      <c r="N14" s="169">
        <f t="shared" si="6"/>
        <v>0</v>
      </c>
      <c r="O14" s="169">
        <f t="shared" si="6"/>
        <v>0</v>
      </c>
      <c r="P14" s="169">
        <f t="shared" si="6"/>
        <v>0</v>
      </c>
      <c r="Q14" s="169">
        <f t="shared" si="6"/>
        <v>0</v>
      </c>
    </row>
    <row r="16" spans="3:5" ht="11.25">
      <c r="C16" s="4"/>
      <c r="D16" s="4"/>
      <c r="E16" s="4"/>
    </row>
  </sheetData>
  <mergeCells count="4">
    <mergeCell ref="B4:C4"/>
    <mergeCell ref="B5:B6"/>
    <mergeCell ref="B8:B9"/>
    <mergeCell ref="B11:B14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O1">
      <selection activeCell="U9" sqref="U9"/>
    </sheetView>
  </sheetViews>
  <sheetFormatPr defaultColWidth="12" defaultRowHeight="11.25"/>
  <cols>
    <col min="1" max="1" width="6.83203125" style="0" customWidth="1"/>
    <col min="2" max="2" width="12.83203125" style="0" customWidth="1"/>
    <col min="3" max="3" width="53.16015625" style="0" customWidth="1"/>
    <col min="4" max="4" width="38.66015625" style="0" customWidth="1"/>
    <col min="5" max="5" width="15.16015625" style="0" customWidth="1"/>
    <col min="6" max="6" width="13" style="0" customWidth="1"/>
    <col min="7" max="7" width="16.5" style="0" customWidth="1"/>
    <col min="8" max="8" width="18.66015625" style="0" customWidth="1"/>
    <col min="9" max="9" width="16.33203125" style="0" customWidth="1"/>
    <col min="10" max="10" width="15.83203125" style="0" customWidth="1"/>
    <col min="11" max="11" width="16.83203125" style="0" customWidth="1"/>
    <col min="12" max="12" width="13.33203125" style="0" customWidth="1"/>
    <col min="13" max="13" width="17.16015625" style="0" customWidth="1"/>
    <col min="14" max="14" width="16.5" style="0" customWidth="1"/>
    <col min="15" max="15" width="13.33203125" style="0" customWidth="1"/>
  </cols>
  <sheetData>
    <row r="1" ht="11.25">
      <c r="A1" s="142" t="s">
        <v>322</v>
      </c>
    </row>
    <row r="2" ht="15.75">
      <c r="C2" s="55"/>
    </row>
    <row r="3" ht="12" thickBot="1"/>
    <row r="4" spans="2:17" ht="32.25" customHeight="1" thickBot="1">
      <c r="B4" s="229" t="s">
        <v>261</v>
      </c>
      <c r="C4" s="248"/>
      <c r="D4" s="230"/>
      <c r="E4" s="241">
        <v>1991</v>
      </c>
      <c r="F4" s="241">
        <v>1992</v>
      </c>
      <c r="G4" s="241">
        <v>1993</v>
      </c>
      <c r="H4" s="241">
        <v>1994</v>
      </c>
      <c r="I4" s="241">
        <v>1995</v>
      </c>
      <c r="J4" s="241">
        <v>1996</v>
      </c>
      <c r="K4" s="241">
        <v>1997</v>
      </c>
      <c r="L4" s="241">
        <v>1998</v>
      </c>
      <c r="M4" s="241">
        <v>1999</v>
      </c>
      <c r="N4" s="241">
        <v>2000</v>
      </c>
      <c r="O4" s="245">
        <v>2001</v>
      </c>
      <c r="P4" s="245">
        <v>2002</v>
      </c>
      <c r="Q4" s="245">
        <v>2003</v>
      </c>
    </row>
    <row r="5" spans="2:17" ht="18" customHeight="1" thickBot="1">
      <c r="B5" s="236" t="s">
        <v>0</v>
      </c>
      <c r="C5" s="237"/>
      <c r="D5" s="99" t="s">
        <v>172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6"/>
      <c r="P5" s="246"/>
      <c r="Q5" s="246"/>
    </row>
    <row r="6" spans="2:17" ht="18" customHeight="1" thickBot="1">
      <c r="B6" s="243" t="s">
        <v>189</v>
      </c>
      <c r="C6" s="50" t="s">
        <v>180</v>
      </c>
      <c r="D6" s="72" t="s">
        <v>29</v>
      </c>
      <c r="E6" s="63">
        <v>1000000</v>
      </c>
      <c r="F6" s="63">
        <v>1000000</v>
      </c>
      <c r="G6" s="63">
        <v>1000000</v>
      </c>
      <c r="H6" s="63">
        <v>1000000</v>
      </c>
      <c r="I6" s="63">
        <v>1000000</v>
      </c>
      <c r="J6" s="63">
        <v>1000000</v>
      </c>
      <c r="K6" s="63">
        <v>1000000</v>
      </c>
      <c r="L6" s="63">
        <v>1000000</v>
      </c>
      <c r="M6" s="63">
        <v>1000000</v>
      </c>
      <c r="N6" s="63">
        <v>1000000</v>
      </c>
      <c r="O6" s="63">
        <v>1000000</v>
      </c>
      <c r="P6" s="63">
        <v>1000000</v>
      </c>
      <c r="Q6" s="63">
        <v>1000000</v>
      </c>
    </row>
    <row r="7" spans="2:17" ht="18" customHeight="1" thickBot="1">
      <c r="B7" s="244"/>
      <c r="C7" s="50" t="s">
        <v>181</v>
      </c>
      <c r="D7" s="72" t="s">
        <v>30</v>
      </c>
      <c r="E7" s="63">
        <v>2000000</v>
      </c>
      <c r="F7" s="63">
        <v>2000000</v>
      </c>
      <c r="G7" s="63">
        <v>2000000</v>
      </c>
      <c r="H7" s="63">
        <v>2000000</v>
      </c>
      <c r="I7" s="63">
        <v>2000000</v>
      </c>
      <c r="J7" s="63">
        <v>2000000</v>
      </c>
      <c r="K7" s="63">
        <v>2000000</v>
      </c>
      <c r="L7" s="63">
        <v>2000000</v>
      </c>
      <c r="M7" s="63">
        <v>2000000</v>
      </c>
      <c r="N7" s="63">
        <v>2000000</v>
      </c>
      <c r="O7" s="63">
        <v>2000000</v>
      </c>
      <c r="P7" s="63">
        <v>2000000</v>
      </c>
      <c r="Q7" s="63">
        <v>2000000</v>
      </c>
    </row>
    <row r="8" spans="2:17" ht="18" customHeight="1" thickBot="1">
      <c r="B8" s="244"/>
      <c r="C8" s="73" t="s">
        <v>60</v>
      </c>
      <c r="D8" s="74" t="s">
        <v>61</v>
      </c>
      <c r="E8" s="64">
        <f aca="true" t="shared" si="0" ref="E8:Q8">E6/E7</f>
        <v>0.5</v>
      </c>
      <c r="F8" s="64">
        <f t="shared" si="0"/>
        <v>0.5</v>
      </c>
      <c r="G8" s="64">
        <f t="shared" si="0"/>
        <v>0.5</v>
      </c>
      <c r="H8" s="64">
        <f t="shared" si="0"/>
        <v>0.5</v>
      </c>
      <c r="I8" s="64">
        <f t="shared" si="0"/>
        <v>0.5</v>
      </c>
      <c r="J8" s="64">
        <f t="shared" si="0"/>
        <v>0.5</v>
      </c>
      <c r="K8" s="64">
        <f t="shared" si="0"/>
        <v>0.5</v>
      </c>
      <c r="L8" s="64">
        <f t="shared" si="0"/>
        <v>0.5</v>
      </c>
      <c r="M8" s="64">
        <f t="shared" si="0"/>
        <v>0.5</v>
      </c>
      <c r="N8" s="64">
        <f t="shared" si="0"/>
        <v>0.5</v>
      </c>
      <c r="O8" s="64">
        <f t="shared" si="0"/>
        <v>0.5</v>
      </c>
      <c r="P8" s="64">
        <f t="shared" si="0"/>
        <v>0.5</v>
      </c>
      <c r="Q8" s="64">
        <f t="shared" si="0"/>
        <v>0.5</v>
      </c>
    </row>
    <row r="9" spans="2:17" ht="18" customHeight="1" thickBot="1">
      <c r="B9" s="244"/>
      <c r="C9" s="73" t="s">
        <v>62</v>
      </c>
      <c r="D9" s="74" t="s">
        <v>63</v>
      </c>
      <c r="E9" s="65">
        <f aca="true" t="shared" si="1" ref="E9:Q9">1/E8</f>
        <v>2</v>
      </c>
      <c r="F9" s="65">
        <f t="shared" si="1"/>
        <v>2</v>
      </c>
      <c r="G9" s="65">
        <f t="shared" si="1"/>
        <v>2</v>
      </c>
      <c r="H9" s="65">
        <f t="shared" si="1"/>
        <v>2</v>
      </c>
      <c r="I9" s="65">
        <f t="shared" si="1"/>
        <v>2</v>
      </c>
      <c r="J9" s="65">
        <f t="shared" si="1"/>
        <v>2</v>
      </c>
      <c r="K9" s="65">
        <f t="shared" si="1"/>
        <v>2</v>
      </c>
      <c r="L9" s="65">
        <f t="shared" si="1"/>
        <v>2</v>
      </c>
      <c r="M9" s="65">
        <f t="shared" si="1"/>
        <v>2</v>
      </c>
      <c r="N9" s="65">
        <f t="shared" si="1"/>
        <v>2</v>
      </c>
      <c r="O9" s="65">
        <f t="shared" si="1"/>
        <v>2</v>
      </c>
      <c r="P9" s="65">
        <f t="shared" si="1"/>
        <v>2</v>
      </c>
      <c r="Q9" s="65">
        <f t="shared" si="1"/>
        <v>2</v>
      </c>
    </row>
    <row r="10" spans="2:17" ht="18" customHeight="1" thickBot="1">
      <c r="B10" s="244"/>
      <c r="C10" s="47" t="s">
        <v>122</v>
      </c>
      <c r="D10" s="75" t="s">
        <v>111</v>
      </c>
      <c r="E10" s="3">
        <f>'14_ Données taux bénéfice'!D4</f>
        <v>0.098</v>
      </c>
      <c r="F10" s="3">
        <f>'14_ Données taux bénéfice'!E4</f>
        <v>0.098</v>
      </c>
      <c r="G10" s="3">
        <f>'14_ Données taux bénéfice'!F4</f>
        <v>0.098</v>
      </c>
      <c r="H10" s="3">
        <f>'14_ Données taux bénéfice'!G4</f>
        <v>0.098</v>
      </c>
      <c r="I10" s="3">
        <f>'14_ Données taux bénéfice'!H4</f>
        <v>0.098</v>
      </c>
      <c r="J10" s="3">
        <f>'14_ Données taux bénéfice'!I4</f>
        <v>0.098</v>
      </c>
      <c r="K10" s="3">
        <f>'14_ Données taux bénéfice'!J4</f>
        <v>0.098</v>
      </c>
      <c r="L10" s="3">
        <f>'14_ Données taux bénéfice'!K4</f>
        <v>0.085</v>
      </c>
      <c r="M10" s="3">
        <f>'14_ Données taux bénéfice'!L4</f>
        <v>0.085</v>
      </c>
      <c r="N10" s="3">
        <f>'14_ Données taux bénéfice'!M4</f>
        <v>0.085</v>
      </c>
      <c r="O10" s="3">
        <f>'14_ Données taux bénéfice'!N4</f>
        <v>0.085</v>
      </c>
      <c r="P10" s="3">
        <f>'14_ Données taux bénéfice'!O4</f>
        <v>0.085</v>
      </c>
      <c r="Q10" s="3">
        <f>'14_ Données taux bénéfice'!P4</f>
        <v>0.085</v>
      </c>
    </row>
    <row r="11" spans="2:17" ht="18" customHeight="1" thickBot="1">
      <c r="B11" s="244"/>
      <c r="C11" s="47" t="s">
        <v>80</v>
      </c>
      <c r="D11" s="75" t="s">
        <v>112</v>
      </c>
      <c r="E11" s="3">
        <f>'14_ Données taux bénéfice'!D5</f>
        <v>0.12</v>
      </c>
      <c r="F11" s="3">
        <f>'14_ Données taux bénéfice'!E5</f>
        <v>0.12</v>
      </c>
      <c r="G11" s="3">
        <f>'14_ Données taux bénéfice'!F5</f>
        <v>0.12</v>
      </c>
      <c r="H11" s="3">
        <f>'14_ Données taux bénéfice'!G5</f>
        <v>0.12</v>
      </c>
      <c r="I11" s="3">
        <f>'14_ Données taux bénéfice'!H5</f>
        <v>0.12</v>
      </c>
      <c r="J11" s="3">
        <f>'14_ Données taux bénéfice'!I5</f>
        <v>0.12</v>
      </c>
      <c r="K11" s="3">
        <f>'14_ Données taux bénéfice'!J5</f>
        <v>0.12</v>
      </c>
      <c r="L11" s="3">
        <f>'14_ Données taux bénéfice'!K5</f>
        <v>0.12</v>
      </c>
      <c r="M11" s="3">
        <f>'14_ Données taux bénéfice'!L5</f>
        <v>0.1</v>
      </c>
      <c r="N11" s="3">
        <f>'14_ Données taux bénéfice'!M5</f>
        <v>0.1</v>
      </c>
      <c r="O11" s="3">
        <f>'14_ Données taux bénéfice'!N5</f>
        <v>0.1</v>
      </c>
      <c r="P11" s="3">
        <f>'14_ Données taux bénéfice'!O5</f>
        <v>0.1</v>
      </c>
      <c r="Q11" s="3">
        <f>'14_ Données taux bénéfice'!P5</f>
        <v>0.1</v>
      </c>
    </row>
    <row r="12" spans="2:17" ht="30.75" customHeight="1" thickBot="1">
      <c r="B12" s="244"/>
      <c r="C12" s="47" t="s">
        <v>81</v>
      </c>
      <c r="D12" s="75" t="s">
        <v>166</v>
      </c>
      <c r="E12" s="8">
        <f>'13_Multiplicateurs '!D7</f>
        <v>2.3794</v>
      </c>
      <c r="F12" s="8">
        <f>'13_Multiplicateurs '!E7</f>
        <v>2.4294000000000002</v>
      </c>
      <c r="G12" s="8">
        <f>'13_Multiplicateurs '!F7</f>
        <v>2.4996</v>
      </c>
      <c r="H12" s="8">
        <f>'13_Multiplicateurs '!G7</f>
        <v>2.4996</v>
      </c>
      <c r="I12" s="8">
        <f>'13_Multiplicateurs '!H7</f>
        <v>2.5</v>
      </c>
      <c r="J12" s="8">
        <f>'13_Multiplicateurs '!I7</f>
        <v>2.5</v>
      </c>
      <c r="K12" s="8">
        <f>'13_Multiplicateurs '!J7</f>
        <v>2.5</v>
      </c>
      <c r="L12" s="8">
        <f>'13_Multiplicateurs '!K7</f>
        <v>2.5000999999999998</v>
      </c>
      <c r="M12" s="8">
        <f>'13_Multiplicateurs '!L7</f>
        <v>2.5000999999999998</v>
      </c>
      <c r="N12" s="8">
        <f>'13_Multiplicateurs '!M7</f>
        <v>2.4701</v>
      </c>
      <c r="O12" s="8">
        <f>'13_Multiplicateurs '!N7</f>
        <v>2.4301</v>
      </c>
      <c r="P12" s="8">
        <f>'13_Multiplicateurs '!O7</f>
        <v>2.3802</v>
      </c>
      <c r="Q12" s="8">
        <f>'13_Multiplicateurs '!P7</f>
        <v>2.3251999999999997</v>
      </c>
    </row>
    <row r="13" spans="2:17" ht="30" customHeight="1" thickBot="1">
      <c r="B13" s="244"/>
      <c r="C13" s="47" t="s">
        <v>82</v>
      </c>
      <c r="D13" s="75" t="s">
        <v>113</v>
      </c>
      <c r="E13" s="5">
        <f aca="true" t="shared" si="2" ref="E13:Q13">E11*E12</f>
        <v>0.285528</v>
      </c>
      <c r="F13" s="5">
        <f t="shared" si="2"/>
        <v>0.291528</v>
      </c>
      <c r="G13" s="5">
        <f t="shared" si="2"/>
        <v>0.299952</v>
      </c>
      <c r="H13" s="5">
        <f t="shared" si="2"/>
        <v>0.299952</v>
      </c>
      <c r="I13" s="5">
        <f t="shared" si="2"/>
        <v>0.3</v>
      </c>
      <c r="J13" s="5">
        <f t="shared" si="2"/>
        <v>0.3</v>
      </c>
      <c r="K13" s="5">
        <f t="shared" si="2"/>
        <v>0.3</v>
      </c>
      <c r="L13" s="5">
        <f t="shared" si="2"/>
        <v>0.30001199999999995</v>
      </c>
      <c r="M13" s="5">
        <f t="shared" si="2"/>
        <v>0.25001</v>
      </c>
      <c r="N13" s="5">
        <f t="shared" si="2"/>
        <v>0.24701</v>
      </c>
      <c r="O13" s="5">
        <f t="shared" si="2"/>
        <v>0.24301</v>
      </c>
      <c r="P13" s="5">
        <f t="shared" si="2"/>
        <v>0.23802</v>
      </c>
      <c r="Q13" s="181">
        <f t="shared" si="2"/>
        <v>0.23251999999999998</v>
      </c>
    </row>
    <row r="14" spans="2:17" ht="25.5" customHeight="1" thickBot="1">
      <c r="B14" s="244"/>
      <c r="C14" s="17" t="s">
        <v>83</v>
      </c>
      <c r="D14" s="82" t="s">
        <v>114</v>
      </c>
      <c r="E14" s="83">
        <f aca="true" t="shared" si="3" ref="E14:Q14">E10+E13</f>
        <v>0.383528</v>
      </c>
      <c r="F14" s="83">
        <f t="shared" si="3"/>
        <v>0.389528</v>
      </c>
      <c r="G14" s="83">
        <f t="shared" si="3"/>
        <v>0.397952</v>
      </c>
      <c r="H14" s="83">
        <f t="shared" si="3"/>
        <v>0.397952</v>
      </c>
      <c r="I14" s="83">
        <f t="shared" si="3"/>
        <v>0.398</v>
      </c>
      <c r="J14" s="83">
        <f t="shared" si="3"/>
        <v>0.398</v>
      </c>
      <c r="K14" s="83">
        <f t="shared" si="3"/>
        <v>0.398</v>
      </c>
      <c r="L14" s="83">
        <f t="shared" si="3"/>
        <v>0.38501199999999997</v>
      </c>
      <c r="M14" s="83">
        <f t="shared" si="3"/>
        <v>0.33501000000000003</v>
      </c>
      <c r="N14" s="83">
        <f t="shared" si="3"/>
        <v>0.33201</v>
      </c>
      <c r="O14" s="83">
        <f t="shared" si="3"/>
        <v>0.32801</v>
      </c>
      <c r="P14" s="83">
        <f t="shared" si="3"/>
        <v>0.32302000000000003</v>
      </c>
      <c r="Q14" s="83">
        <f t="shared" si="3"/>
        <v>0.31751999999999997</v>
      </c>
    </row>
    <row r="15" spans="2:17" ht="25.5" customHeight="1" thickBot="1">
      <c r="B15" s="244"/>
      <c r="C15" s="47" t="s">
        <v>6</v>
      </c>
      <c r="D15" s="72" t="s">
        <v>5</v>
      </c>
      <c r="E15" s="3">
        <f>'15_Données taux capital'!D4</f>
        <v>0.000825</v>
      </c>
      <c r="F15" s="3">
        <f>'15_Données taux capital'!E4</f>
        <v>0.000825</v>
      </c>
      <c r="G15" s="3">
        <f>'15_Données taux capital'!F4</f>
        <v>0.000825</v>
      </c>
      <c r="H15" s="3">
        <f>'15_Données taux capital'!G4</f>
        <v>0.000825</v>
      </c>
      <c r="I15" s="3">
        <f>'15_Données taux capital'!H4</f>
        <v>0.0008</v>
      </c>
      <c r="J15" s="3">
        <f>'15_Données taux capital'!I4</f>
        <v>0.0008</v>
      </c>
      <c r="K15" s="3">
        <f>'15_Données taux capital'!J4</f>
        <v>0.0008</v>
      </c>
      <c r="L15" s="3">
        <f>'15_Données taux capital'!K4</f>
        <v>0</v>
      </c>
      <c r="M15" s="3">
        <f>'15_Données taux capital'!L4</f>
        <v>0</v>
      </c>
      <c r="N15" s="3">
        <f>'15_Données taux capital'!M4</f>
        <v>0</v>
      </c>
      <c r="O15" s="3">
        <f>'15_Données taux capital'!N4</f>
        <v>0</v>
      </c>
      <c r="P15" s="3">
        <f>'15_Données taux capital'!O4</f>
        <v>0</v>
      </c>
      <c r="Q15" s="3">
        <f>'15_Données taux capital'!P4</f>
        <v>0</v>
      </c>
    </row>
    <row r="16" spans="2:18" ht="25.5" customHeight="1" thickBot="1">
      <c r="B16" s="244"/>
      <c r="C16" s="53" t="s">
        <v>84</v>
      </c>
      <c r="D16" s="72" t="s">
        <v>8</v>
      </c>
      <c r="E16" s="3">
        <f aca="true" t="shared" si="4" ref="E16:Q16">E15*E9</f>
        <v>0.00165</v>
      </c>
      <c r="F16" s="3">
        <f t="shared" si="4"/>
        <v>0.00165</v>
      </c>
      <c r="G16" s="3">
        <f t="shared" si="4"/>
        <v>0.00165</v>
      </c>
      <c r="H16" s="3">
        <f t="shared" si="4"/>
        <v>0.00165</v>
      </c>
      <c r="I16" s="3">
        <f t="shared" si="4"/>
        <v>0.0016</v>
      </c>
      <c r="J16" s="3">
        <f t="shared" si="4"/>
        <v>0.0016</v>
      </c>
      <c r="K16" s="3">
        <f t="shared" si="4"/>
        <v>0.0016</v>
      </c>
      <c r="L16" s="3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3">
        <f t="shared" si="4"/>
        <v>0</v>
      </c>
      <c r="Q16" s="3">
        <f t="shared" si="4"/>
        <v>0</v>
      </c>
      <c r="R16" t="s">
        <v>402</v>
      </c>
    </row>
    <row r="17" spans="2:17" ht="30" customHeight="1" thickBot="1">
      <c r="B17" s="244"/>
      <c r="C17" s="47" t="s">
        <v>9</v>
      </c>
      <c r="D17" s="75" t="s">
        <v>10</v>
      </c>
      <c r="E17" s="3">
        <f>'15_Données taux capital'!D5</f>
        <v>0.0015</v>
      </c>
      <c r="F17" s="3">
        <f>'15_Données taux capital'!E5</f>
        <v>0.0015</v>
      </c>
      <c r="G17" s="3">
        <f>'15_Données taux capital'!F5</f>
        <v>0.0015</v>
      </c>
      <c r="H17" s="3">
        <f>'15_Données taux capital'!G5</f>
        <v>0.0015</v>
      </c>
      <c r="I17" s="3">
        <f>'15_Données taux capital'!H5</f>
        <v>0.0015</v>
      </c>
      <c r="J17" s="3">
        <f>'15_Données taux capital'!I5</f>
        <v>0.0015</v>
      </c>
      <c r="K17" s="3">
        <f>'15_Données taux capital'!J5</f>
        <v>0.0015</v>
      </c>
      <c r="L17" s="3">
        <f>'15_Données taux capital'!K5</f>
        <v>0.0015</v>
      </c>
      <c r="M17" s="3">
        <f>'15_Données taux capital'!L5</f>
        <v>0.0015</v>
      </c>
      <c r="N17" s="3">
        <f>'15_Données taux capital'!M5</f>
        <v>0.0015</v>
      </c>
      <c r="O17" s="3">
        <f>'15_Données taux capital'!N5</f>
        <v>0.0015</v>
      </c>
      <c r="P17" s="3">
        <f>'15_Données taux capital'!O5</f>
        <v>0.0015</v>
      </c>
      <c r="Q17" s="3">
        <f>'15_Données taux capital'!P5</f>
        <v>0.0015</v>
      </c>
    </row>
    <row r="18" spans="2:17" ht="30" customHeight="1" thickBot="1">
      <c r="B18" s="244"/>
      <c r="C18" s="47" t="s">
        <v>11</v>
      </c>
      <c r="D18" s="89" t="s">
        <v>131</v>
      </c>
      <c r="E18" s="3">
        <f aca="true" t="shared" si="5" ref="E18:Q18">E17*E12</f>
        <v>0.0035691</v>
      </c>
      <c r="F18" s="3">
        <f t="shared" si="5"/>
        <v>0.0036441000000000004</v>
      </c>
      <c r="G18" s="3">
        <f t="shared" si="5"/>
        <v>0.0037494</v>
      </c>
      <c r="H18" s="3">
        <f t="shared" si="5"/>
        <v>0.0037494</v>
      </c>
      <c r="I18" s="3">
        <f t="shared" si="5"/>
        <v>0.00375</v>
      </c>
      <c r="J18" s="3">
        <f t="shared" si="5"/>
        <v>0.00375</v>
      </c>
      <c r="K18" s="3">
        <f t="shared" si="5"/>
        <v>0.00375</v>
      </c>
      <c r="L18" s="3">
        <f t="shared" si="5"/>
        <v>0.00375015</v>
      </c>
      <c r="M18" s="3">
        <f t="shared" si="5"/>
        <v>0.00375015</v>
      </c>
      <c r="N18" s="3">
        <f t="shared" si="5"/>
        <v>0.00370515</v>
      </c>
      <c r="O18" s="3">
        <f t="shared" si="5"/>
        <v>0.0036451499999999998</v>
      </c>
      <c r="P18" s="3">
        <f t="shared" si="5"/>
        <v>0.0035702999999999998</v>
      </c>
      <c r="Q18" s="3">
        <f t="shared" si="5"/>
        <v>0.0034877999999999997</v>
      </c>
    </row>
    <row r="19" spans="2:17" ht="29.25" customHeight="1" thickBot="1">
      <c r="B19" s="239"/>
      <c r="C19" s="47" t="s">
        <v>12</v>
      </c>
      <c r="D19" s="72" t="s">
        <v>20</v>
      </c>
      <c r="E19" s="3">
        <f aca="true" t="shared" si="6" ref="E19:Q19">E17*E9*E12</f>
        <v>0.0071382</v>
      </c>
      <c r="F19" s="3">
        <f t="shared" si="6"/>
        <v>0.007288200000000001</v>
      </c>
      <c r="G19" s="3">
        <f t="shared" si="6"/>
        <v>0.0074988</v>
      </c>
      <c r="H19" s="3">
        <f t="shared" si="6"/>
        <v>0.0074988</v>
      </c>
      <c r="I19" s="3">
        <f t="shared" si="6"/>
        <v>0.0075</v>
      </c>
      <c r="J19" s="3">
        <f t="shared" si="6"/>
        <v>0.0075</v>
      </c>
      <c r="K19" s="3">
        <f t="shared" si="6"/>
        <v>0.0075</v>
      </c>
      <c r="L19" s="3">
        <f t="shared" si="6"/>
        <v>0.0075003</v>
      </c>
      <c r="M19" s="3">
        <f t="shared" si="6"/>
        <v>0.0075003</v>
      </c>
      <c r="N19" s="3">
        <f t="shared" si="6"/>
        <v>0.0074103</v>
      </c>
      <c r="O19" s="3">
        <f t="shared" si="6"/>
        <v>0.0072902999999999996</v>
      </c>
      <c r="P19" s="3">
        <f t="shared" si="6"/>
        <v>0.0071405999999999996</v>
      </c>
      <c r="Q19" s="3">
        <f t="shared" si="6"/>
        <v>0.006975599999999999</v>
      </c>
    </row>
    <row r="20" spans="2:17" ht="23.25" customHeight="1" thickBot="1">
      <c r="B20" s="239"/>
      <c r="C20" s="47" t="s">
        <v>132</v>
      </c>
      <c r="D20" s="72" t="s">
        <v>21</v>
      </c>
      <c r="E20" s="3">
        <f aca="true" t="shared" si="7" ref="E20:Q20">E15+E18</f>
        <v>0.0043941</v>
      </c>
      <c r="F20" s="3">
        <f t="shared" si="7"/>
        <v>0.0044691</v>
      </c>
      <c r="G20" s="3">
        <f t="shared" si="7"/>
        <v>0.0045744</v>
      </c>
      <c r="H20" s="3">
        <f t="shared" si="7"/>
        <v>0.0045744</v>
      </c>
      <c r="I20" s="3">
        <f t="shared" si="7"/>
        <v>0.00455</v>
      </c>
      <c r="J20" s="3">
        <f t="shared" si="7"/>
        <v>0.00455</v>
      </c>
      <c r="K20" s="3">
        <f t="shared" si="7"/>
        <v>0.00455</v>
      </c>
      <c r="L20" s="3">
        <f t="shared" si="7"/>
        <v>0.00375015</v>
      </c>
      <c r="M20" s="3">
        <f t="shared" si="7"/>
        <v>0.00375015</v>
      </c>
      <c r="N20" s="3">
        <f t="shared" si="7"/>
        <v>0.00370515</v>
      </c>
      <c r="O20" s="3">
        <f t="shared" si="7"/>
        <v>0.0036451499999999998</v>
      </c>
      <c r="P20" s="3">
        <f t="shared" si="7"/>
        <v>0.0035702999999999998</v>
      </c>
      <c r="Q20" s="3">
        <f t="shared" si="7"/>
        <v>0.0034877999999999997</v>
      </c>
    </row>
    <row r="21" spans="2:17" ht="29.25" customHeight="1" thickBot="1">
      <c r="B21" s="240"/>
      <c r="C21" s="17" t="s">
        <v>13</v>
      </c>
      <c r="D21" s="84" t="s">
        <v>123</v>
      </c>
      <c r="E21" s="83">
        <f aca="true" t="shared" si="8" ref="E21:Q21">E16+E19</f>
        <v>0.0087882</v>
      </c>
      <c r="F21" s="83">
        <f t="shared" si="8"/>
        <v>0.0089382</v>
      </c>
      <c r="G21" s="83">
        <f t="shared" si="8"/>
        <v>0.0091488</v>
      </c>
      <c r="H21" s="83">
        <f t="shared" si="8"/>
        <v>0.0091488</v>
      </c>
      <c r="I21" s="83">
        <f t="shared" si="8"/>
        <v>0.0091</v>
      </c>
      <c r="J21" s="83">
        <f t="shared" si="8"/>
        <v>0.0091</v>
      </c>
      <c r="K21" s="83">
        <f t="shared" si="8"/>
        <v>0.0091</v>
      </c>
      <c r="L21" s="83">
        <f t="shared" si="8"/>
        <v>0.0075003</v>
      </c>
      <c r="M21" s="83">
        <f t="shared" si="8"/>
        <v>0.0075003</v>
      </c>
      <c r="N21" s="83">
        <f t="shared" si="8"/>
        <v>0.0074103</v>
      </c>
      <c r="O21" s="83">
        <f t="shared" si="8"/>
        <v>0.0072902999999999996</v>
      </c>
      <c r="P21" s="83">
        <f t="shared" si="8"/>
        <v>0.0071405999999999996</v>
      </c>
      <c r="Q21" s="83">
        <f t="shared" si="8"/>
        <v>0.006975599999999999</v>
      </c>
    </row>
    <row r="22" spans="2:17" ht="11.25" customHeight="1" thickBot="1">
      <c r="B22" s="96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2:17" ht="18" thickBot="1">
      <c r="B23" s="243" t="s">
        <v>182</v>
      </c>
      <c r="C23" s="6" t="s">
        <v>14</v>
      </c>
      <c r="D23" s="51" t="s">
        <v>102</v>
      </c>
      <c r="E23" s="52">
        <f aca="true" t="shared" si="9" ref="E23:Q23">E14*(1-E21)/(1+E14)</f>
        <v>0.2747739686008523</v>
      </c>
      <c r="F23" s="52">
        <f t="shared" si="9"/>
        <v>0.2778255068126731</v>
      </c>
      <c r="G23" s="52">
        <f t="shared" si="9"/>
        <v>0.2820634876894199</v>
      </c>
      <c r="H23" s="52">
        <f t="shared" si="9"/>
        <v>0.2820634876894199</v>
      </c>
      <c r="I23" s="52">
        <f t="shared" si="9"/>
        <v>0.2821017167381974</v>
      </c>
      <c r="J23" s="52">
        <f t="shared" si="9"/>
        <v>0.2821017167381974</v>
      </c>
      <c r="K23" s="52">
        <f t="shared" si="9"/>
        <v>0.2821017167381974</v>
      </c>
      <c r="L23" s="52">
        <f t="shared" si="9"/>
        <v>0.27589962722084715</v>
      </c>
      <c r="M23" s="52">
        <f t="shared" si="9"/>
        <v>0.24905980067340322</v>
      </c>
      <c r="N23" s="52">
        <f t="shared" si="9"/>
        <v>0.24740783199600608</v>
      </c>
      <c r="O23" s="52">
        <f t="shared" si="9"/>
        <v>0.2451929644332498</v>
      </c>
      <c r="P23" s="52">
        <f t="shared" si="9"/>
        <v>0.24241012485676708</v>
      </c>
      <c r="Q23" s="52">
        <f t="shared" si="9"/>
        <v>0.23931713179913777</v>
      </c>
    </row>
    <row r="24" spans="2:17" ht="26.25" thickBot="1">
      <c r="B24" s="244"/>
      <c r="C24" s="6" t="s">
        <v>15</v>
      </c>
      <c r="D24" s="51" t="s">
        <v>104</v>
      </c>
      <c r="E24" s="52">
        <f aca="true" t="shared" si="10" ref="E24:Q24">E21</f>
        <v>0.0087882</v>
      </c>
      <c r="F24" s="52">
        <f t="shared" si="10"/>
        <v>0.0089382</v>
      </c>
      <c r="G24" s="52">
        <f t="shared" si="10"/>
        <v>0.0091488</v>
      </c>
      <c r="H24" s="52">
        <f t="shared" si="10"/>
        <v>0.0091488</v>
      </c>
      <c r="I24" s="52">
        <f t="shared" si="10"/>
        <v>0.0091</v>
      </c>
      <c r="J24" s="52">
        <f t="shared" si="10"/>
        <v>0.0091</v>
      </c>
      <c r="K24" s="52">
        <f t="shared" si="10"/>
        <v>0.0091</v>
      </c>
      <c r="L24" s="52">
        <f t="shared" si="10"/>
        <v>0.0075003</v>
      </c>
      <c r="M24" s="52">
        <f t="shared" si="10"/>
        <v>0.0075003</v>
      </c>
      <c r="N24" s="52">
        <f t="shared" si="10"/>
        <v>0.0074103</v>
      </c>
      <c r="O24" s="52">
        <f t="shared" si="10"/>
        <v>0.0072902999999999996</v>
      </c>
      <c r="P24" s="52">
        <f t="shared" si="10"/>
        <v>0.0071405999999999996</v>
      </c>
      <c r="Q24" s="52">
        <f t="shared" si="10"/>
        <v>0.006975599999999999</v>
      </c>
    </row>
    <row r="25" spans="2:17" ht="18" thickBot="1">
      <c r="B25" s="244"/>
      <c r="C25" s="6" t="s">
        <v>16</v>
      </c>
      <c r="D25" s="85" t="s">
        <v>103</v>
      </c>
      <c r="E25" s="52">
        <f aca="true" t="shared" si="11" ref="E25:Q25">E23+E24</f>
        <v>0.2835621686008523</v>
      </c>
      <c r="F25" s="52">
        <f t="shared" si="11"/>
        <v>0.2867637068126731</v>
      </c>
      <c r="G25" s="52">
        <f t="shared" si="11"/>
        <v>0.2912122876894199</v>
      </c>
      <c r="H25" s="52">
        <f t="shared" si="11"/>
        <v>0.2912122876894199</v>
      </c>
      <c r="I25" s="52">
        <f t="shared" si="11"/>
        <v>0.2912017167381974</v>
      </c>
      <c r="J25" s="52">
        <f t="shared" si="11"/>
        <v>0.2912017167381974</v>
      </c>
      <c r="K25" s="52">
        <f t="shared" si="11"/>
        <v>0.2912017167381974</v>
      </c>
      <c r="L25" s="52">
        <f t="shared" si="11"/>
        <v>0.28339992722084717</v>
      </c>
      <c r="M25" s="52">
        <f t="shared" si="11"/>
        <v>0.25656010067340324</v>
      </c>
      <c r="N25" s="52">
        <f t="shared" si="11"/>
        <v>0.25481813199600606</v>
      </c>
      <c r="O25" s="52">
        <f t="shared" si="11"/>
        <v>0.2524832644332498</v>
      </c>
      <c r="P25" s="52">
        <f t="shared" si="11"/>
        <v>0.24955072485676708</v>
      </c>
      <c r="Q25" s="52">
        <f t="shared" si="11"/>
        <v>0.24629273179913777</v>
      </c>
    </row>
    <row r="26" spans="2:17" ht="15" thickBot="1">
      <c r="B26" s="244"/>
      <c r="C26" s="130" t="s">
        <v>17</v>
      </c>
      <c r="D26" s="131" t="s">
        <v>59</v>
      </c>
      <c r="E26" s="138">
        <f>'4_Comp_montant_charge fiscal'!D5/1000000</f>
        <v>0.283556</v>
      </c>
      <c r="F26" s="138">
        <f>'4_Comp_montant_charge fiscal'!E5/1000000</f>
        <v>0.28675</v>
      </c>
      <c r="G26" s="138">
        <f>'4_Comp_montant_charge fiscal'!F5/1000000</f>
        <v>0.291217</v>
      </c>
      <c r="H26" s="138">
        <f>'4_Comp_montant_charge fiscal'!G5/1000000</f>
        <v>0.291217</v>
      </c>
      <c r="I26" s="138">
        <f>'4_Comp_montant_charge fiscal'!H5/1000000</f>
        <v>0.291202</v>
      </c>
      <c r="J26" s="138">
        <f>'4_Comp_montant_charge fiscal'!I5/1000000</f>
        <v>0.291202</v>
      </c>
      <c r="K26" s="138">
        <f>'4_Comp_montant_charge fiscal'!J5/1000000</f>
        <v>0.291211</v>
      </c>
      <c r="L26" s="138">
        <f>'4_Comp_montant_charge fiscal'!K5/1000000</f>
        <v>0.2834</v>
      </c>
      <c r="M26" s="138">
        <f>'4_Comp_montant_charge fiscal'!L5/1000000</f>
        <v>0.256547</v>
      </c>
      <c r="N26" s="138">
        <f>'4_Comp_montant_charge fiscal'!M5/1000000</f>
        <v>0.254824</v>
      </c>
      <c r="O26" s="138">
        <f>'4_Comp_montant_charge fiscal'!N5/1000000</f>
        <v>0.252477</v>
      </c>
      <c r="P26" s="138">
        <f>'4_Comp_montant_charge fiscal'!O5/1000000</f>
        <v>0.249535</v>
      </c>
      <c r="Q26" s="138">
        <f>'4_Comp_montant_charge fiscal'!P5/1000000</f>
        <v>0.24629</v>
      </c>
    </row>
    <row r="27" spans="2:17" ht="15" thickBot="1">
      <c r="B27" s="247"/>
      <c r="C27" s="6" t="s">
        <v>18</v>
      </c>
      <c r="D27" s="90" t="s">
        <v>19</v>
      </c>
      <c r="E27" s="167">
        <f>E25-E26</f>
        <v>6.168600852340944E-06</v>
      </c>
      <c r="F27" s="167">
        <f>F25-F26</f>
        <v>1.3706812673097701E-05</v>
      </c>
      <c r="G27" s="167">
        <f aca="true" t="shared" si="12" ref="G27:M27">G25-G26</f>
        <v>-4.712310580079482E-06</v>
      </c>
      <c r="H27" s="167">
        <f t="shared" si="12"/>
        <v>-4.712310580079482E-06</v>
      </c>
      <c r="I27" s="167">
        <f t="shared" si="12"/>
        <v>-2.832618026249456E-07</v>
      </c>
      <c r="J27" s="167">
        <f t="shared" si="12"/>
        <v>-2.832618026249456E-07</v>
      </c>
      <c r="K27" s="167">
        <f t="shared" si="12"/>
        <v>-9.28326180260619E-06</v>
      </c>
      <c r="L27" s="167">
        <f t="shared" si="12"/>
        <v>-7.277915281544978E-08</v>
      </c>
      <c r="M27" s="167">
        <f t="shared" si="12"/>
        <v>1.3100673403210195E-05</v>
      </c>
      <c r="N27" s="167">
        <f>N25-N26</f>
        <v>-5.868003993936277E-06</v>
      </c>
      <c r="O27" s="167">
        <f>O25-O26</f>
        <v>6.26443324980297E-06</v>
      </c>
      <c r="P27" s="167">
        <f>P25-P26</f>
        <v>1.5724856767068696E-05</v>
      </c>
      <c r="Q27" s="52">
        <f>Q25-Q26</f>
        <v>2.731799137761781E-06</v>
      </c>
    </row>
  </sheetData>
  <mergeCells count="17">
    <mergeCell ref="P4:P5"/>
    <mergeCell ref="Q4:Q5"/>
    <mergeCell ref="B23:B27"/>
    <mergeCell ref="B5:C5"/>
    <mergeCell ref="N4:N5"/>
    <mergeCell ref="O4:O5"/>
    <mergeCell ref="B4:D4"/>
    <mergeCell ref="L4:L5"/>
    <mergeCell ref="M4:M5"/>
    <mergeCell ref="H4:H5"/>
    <mergeCell ref="I4:I5"/>
    <mergeCell ref="J4:J5"/>
    <mergeCell ref="K4:K5"/>
    <mergeCell ref="B6:B21"/>
    <mergeCell ref="E4:E5"/>
    <mergeCell ref="F4:F5"/>
    <mergeCell ref="G4:G5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F1">
      <selection activeCell="Q1" sqref="Q1:Q16384"/>
    </sheetView>
  </sheetViews>
  <sheetFormatPr defaultColWidth="12" defaultRowHeight="11.25"/>
  <cols>
    <col min="1" max="1" width="5.33203125" style="0" customWidth="1"/>
    <col min="2" max="2" width="30.66015625" style="0" customWidth="1"/>
    <col min="3" max="3" width="25.83203125" style="0" customWidth="1"/>
    <col min="4" max="4" width="12.5" style="0" customWidth="1"/>
    <col min="5" max="5" width="11" style="0" customWidth="1"/>
    <col min="6" max="7" width="10.66015625" style="0" customWidth="1"/>
    <col min="8" max="8" width="11.5" style="0" customWidth="1"/>
    <col min="9" max="9" width="9.33203125" style="0" customWidth="1"/>
    <col min="10" max="10" width="11.83203125" style="0" customWidth="1"/>
    <col min="11" max="11" width="10.33203125" style="0" customWidth="1"/>
    <col min="12" max="12" width="10.66015625" style="0" customWidth="1"/>
    <col min="13" max="13" width="9.66015625" style="0" customWidth="1"/>
    <col min="14" max="14" width="10.5" style="0" customWidth="1"/>
    <col min="15" max="15" width="10.66015625" style="0" customWidth="1"/>
    <col min="16" max="16" width="11" style="0" customWidth="1"/>
  </cols>
  <sheetData>
    <row r="1" spans="1:4" ht="11.25">
      <c r="A1" s="142" t="s">
        <v>322</v>
      </c>
      <c r="D1" s="10"/>
    </row>
    <row r="2" ht="12" thickBot="1"/>
    <row r="3" spans="2:16" ht="41.25" customHeight="1" thickBot="1">
      <c r="B3" s="213" t="s">
        <v>262</v>
      </c>
      <c r="C3" s="230"/>
      <c r="D3" s="129">
        <v>1991</v>
      </c>
      <c r="E3" s="129">
        <v>1992</v>
      </c>
      <c r="F3" s="129">
        <v>1993</v>
      </c>
      <c r="G3" s="129">
        <v>1994</v>
      </c>
      <c r="H3" s="129">
        <v>1995</v>
      </c>
      <c r="I3" s="129">
        <v>1996</v>
      </c>
      <c r="J3" s="129">
        <v>1997</v>
      </c>
      <c r="K3" s="129">
        <v>1998</v>
      </c>
      <c r="L3" s="129">
        <v>1999</v>
      </c>
      <c r="M3" s="129">
        <v>2000</v>
      </c>
      <c r="N3" s="129">
        <v>2001</v>
      </c>
      <c r="O3" s="129">
        <v>2002</v>
      </c>
      <c r="P3" s="129">
        <v>2003</v>
      </c>
    </row>
    <row r="4" spans="2:16" ht="24" customHeight="1" thickBot="1">
      <c r="B4" s="249" t="s">
        <v>231</v>
      </c>
      <c r="C4" s="17" t="s">
        <v>341</v>
      </c>
      <c r="D4" s="66">
        <f>'5_Calcul des montants d''impôt'!D4</f>
        <v>283562.1686008523</v>
      </c>
      <c r="E4" s="66">
        <f>'5_Calcul des montants d''impôt'!E4</f>
        <v>286763.7068126731</v>
      </c>
      <c r="F4" s="66">
        <f>'5_Calcul des montants d''impôt'!F4</f>
        <v>291212.2876894199</v>
      </c>
      <c r="G4" s="66">
        <f>'5_Calcul des montants d''impôt'!G4</f>
        <v>291212.2876894199</v>
      </c>
      <c r="H4" s="66">
        <f>'5_Calcul des montants d''impôt'!H4</f>
        <v>291201.71673819737</v>
      </c>
      <c r="I4" s="66">
        <f>'5_Calcul des montants d''impôt'!I4</f>
        <v>291201.71673819737</v>
      </c>
      <c r="J4" s="66">
        <f>'5_Calcul des montants d''impôt'!J4</f>
        <v>291201.71673819737</v>
      </c>
      <c r="K4" s="66">
        <f>'5_Calcul des montants d''impôt'!K4</f>
        <v>283399.92722084717</v>
      </c>
      <c r="L4" s="66">
        <f>'5_Calcul des montants d''impôt'!L4</f>
        <v>256560.10067340324</v>
      </c>
      <c r="M4" s="66">
        <f>'5_Calcul des montants d''impôt'!M4</f>
        <v>254818.13199600606</v>
      </c>
      <c r="N4" s="66">
        <f>'5_Calcul des montants d''impôt'!N4</f>
        <v>252483.26443324974</v>
      </c>
      <c r="O4" s="66">
        <f>'5_Calcul des montants d''impôt'!O4</f>
        <v>249550.7248567671</v>
      </c>
      <c r="P4" s="66">
        <f>'5_Calcul des montants d''impôt'!P4</f>
        <v>246292.73179913778</v>
      </c>
    </row>
    <row r="5" spans="2:16" ht="20.25" customHeight="1" thickBot="1">
      <c r="B5" s="217"/>
      <c r="C5" s="17" t="s">
        <v>342</v>
      </c>
      <c r="D5" s="141">
        <v>283556</v>
      </c>
      <c r="E5" s="141">
        <v>286750</v>
      </c>
      <c r="F5" s="141">
        <v>291217</v>
      </c>
      <c r="G5" s="141">
        <v>291217</v>
      </c>
      <c r="H5" s="141">
        <v>291202</v>
      </c>
      <c r="I5" s="141">
        <v>291202</v>
      </c>
      <c r="J5" s="141">
        <v>291211</v>
      </c>
      <c r="K5" s="141">
        <v>283400</v>
      </c>
      <c r="L5" s="141">
        <v>256547</v>
      </c>
      <c r="M5" s="141">
        <v>254824</v>
      </c>
      <c r="N5" s="141">
        <v>252477</v>
      </c>
      <c r="O5" s="141">
        <v>249535</v>
      </c>
      <c r="P5" s="141">
        <v>246290</v>
      </c>
    </row>
    <row r="6" spans="2:16" ht="18" customHeight="1" thickBot="1">
      <c r="B6" s="218"/>
      <c r="C6" s="17" t="s">
        <v>230</v>
      </c>
      <c r="D6" s="66">
        <f>D4-D5</f>
        <v>6.168600852310192</v>
      </c>
      <c r="E6" s="66">
        <f aca="true" t="shared" si="0" ref="E6:P6">E4-E5</f>
        <v>13.706812673073728</v>
      </c>
      <c r="F6" s="66">
        <f t="shared" si="0"/>
        <v>-4.712310580071062</v>
      </c>
      <c r="G6" s="66">
        <f t="shared" si="0"/>
        <v>-4.712310580071062</v>
      </c>
      <c r="H6" s="66">
        <f t="shared" si="0"/>
        <v>-0.2832618026295677</v>
      </c>
      <c r="I6" s="66">
        <f t="shared" si="0"/>
        <v>-0.2832618026295677</v>
      </c>
      <c r="J6" s="66">
        <f t="shared" si="0"/>
        <v>-9.283261802629568</v>
      </c>
      <c r="K6" s="66">
        <f t="shared" si="0"/>
        <v>-0.07277915283339098</v>
      </c>
      <c r="L6" s="66">
        <f t="shared" si="0"/>
        <v>13.100673403241672</v>
      </c>
      <c r="M6" s="66">
        <f t="shared" si="0"/>
        <v>-5.868003993935417</v>
      </c>
      <c r="N6" s="66">
        <f t="shared" si="0"/>
        <v>6.264433249743888</v>
      </c>
      <c r="O6" s="66">
        <f t="shared" si="0"/>
        <v>15.724856767104939</v>
      </c>
      <c r="P6" s="66">
        <f t="shared" si="0"/>
        <v>2.73179913777858</v>
      </c>
    </row>
    <row r="7" spans="2:16" ht="23.25" customHeight="1" thickBot="1">
      <c r="B7" s="249" t="s">
        <v>233</v>
      </c>
      <c r="C7" s="17" t="s">
        <v>341</v>
      </c>
      <c r="D7" s="66">
        <f>'5_Calcul des montants d''impôt'!D8</f>
        <v>211701.26112373587</v>
      </c>
      <c r="E7" s="66">
        <f>'5_Calcul des montants d''impôt'!E8</f>
        <v>215216.550080315</v>
      </c>
      <c r="F7" s="66">
        <f>'5_Calcul des montants d''impôt'!F8</f>
        <v>220101.09188298314</v>
      </c>
      <c r="G7" s="66">
        <f>'5_Calcul des montants d''impôt'!G8</f>
        <v>220101.09188298314</v>
      </c>
      <c r="H7" s="66">
        <f>'5_Calcul des montants d''impôt'!H8</f>
        <v>220139.48497854077</v>
      </c>
      <c r="I7" s="66">
        <f>'5_Calcul des montants d''impôt'!I8</f>
        <v>220139.48497854077</v>
      </c>
      <c r="J7" s="66">
        <f>'5_Calcul des montants d''impôt'!J8</f>
        <v>220139.48497854077</v>
      </c>
      <c r="K7" s="66">
        <f>'5_Calcul des montants d''impôt'!K8</f>
        <v>222488.92103461915</v>
      </c>
      <c r="L7" s="66">
        <f>'5_Calcul des montants d''impôt'!L8</f>
        <v>193367.70923064245</v>
      </c>
      <c r="M7" s="66">
        <f>'5_Calcul des montants d''impôt'!M8</f>
        <v>191477.67321566655</v>
      </c>
      <c r="N7" s="66">
        <f>'5_Calcul des montants d''impôt'!N8</f>
        <v>188944.34191007598</v>
      </c>
      <c r="O7" s="66">
        <f>'5_Calcul des montants d''impôt'!O8</f>
        <v>185762.53646959228</v>
      </c>
      <c r="P7" s="66">
        <f>'5_Calcul des montants d''impôt'!P8</f>
        <v>182227.61400206448</v>
      </c>
    </row>
    <row r="8" spans="2:16" ht="19.5" customHeight="1" thickBot="1">
      <c r="B8" s="217"/>
      <c r="C8" s="17" t="s">
        <v>342</v>
      </c>
      <c r="D8" s="141">
        <v>211699</v>
      </c>
      <c r="E8" s="141">
        <v>215206</v>
      </c>
      <c r="F8" s="141">
        <v>220105</v>
      </c>
      <c r="G8" s="141">
        <v>220105</v>
      </c>
      <c r="H8" s="141">
        <v>220140</v>
      </c>
      <c r="I8" s="141">
        <v>220140</v>
      </c>
      <c r="J8" s="141">
        <v>220149</v>
      </c>
      <c r="K8" s="141">
        <v>222489</v>
      </c>
      <c r="L8" s="141">
        <v>193358</v>
      </c>
      <c r="M8" s="141">
        <v>191482</v>
      </c>
      <c r="N8" s="141">
        <v>188940</v>
      </c>
      <c r="O8" s="141">
        <v>185751</v>
      </c>
      <c r="P8" s="141">
        <v>182226</v>
      </c>
    </row>
    <row r="9" spans="2:16" ht="15" customHeight="1" thickBot="1">
      <c r="B9" s="218"/>
      <c r="C9" s="17" t="s">
        <v>230</v>
      </c>
      <c r="D9" s="66">
        <f>D7-D8</f>
        <v>2.2611237358651124</v>
      </c>
      <c r="E9" s="66">
        <f aca="true" t="shared" si="1" ref="E9:P9">E7-E8</f>
        <v>10.550080315006198</v>
      </c>
      <c r="F9" s="66">
        <f t="shared" si="1"/>
        <v>-3.9081170168647077</v>
      </c>
      <c r="G9" s="66">
        <f t="shared" si="1"/>
        <v>-3.9081170168647077</v>
      </c>
      <c r="H9" s="66">
        <f t="shared" si="1"/>
        <v>-0.515021459228592</v>
      </c>
      <c r="I9" s="66">
        <f t="shared" si="1"/>
        <v>-0.515021459228592</v>
      </c>
      <c r="J9" s="66">
        <f t="shared" si="1"/>
        <v>-9.515021459228592</v>
      </c>
      <c r="K9" s="66">
        <f t="shared" si="1"/>
        <v>-0.07896538084605709</v>
      </c>
      <c r="L9" s="66">
        <f t="shared" si="1"/>
        <v>9.709230642445618</v>
      </c>
      <c r="M9" s="66">
        <f t="shared" si="1"/>
        <v>-4.326784333446994</v>
      </c>
      <c r="N9" s="66">
        <f t="shared" si="1"/>
        <v>4.341910075978376</v>
      </c>
      <c r="O9" s="66">
        <f t="shared" si="1"/>
        <v>11.536469592276262</v>
      </c>
      <c r="P9" s="66">
        <f t="shared" si="1"/>
        <v>1.6140020644816104</v>
      </c>
    </row>
    <row r="10" spans="2:16" ht="18" customHeight="1" thickBot="1">
      <c r="B10" s="249" t="s">
        <v>232</v>
      </c>
      <c r="C10" s="17" t="s">
        <v>341</v>
      </c>
      <c r="D10" s="66">
        <f>'5_Calcul des montants d''impôt'!D5</f>
        <v>71860.90747711647</v>
      </c>
      <c r="E10" s="66">
        <f>'5_Calcul des montants d''impôt'!E5</f>
        <v>71547.15673235804</v>
      </c>
      <c r="F10" s="66">
        <f>'5_Calcul des montants d''impôt'!F5</f>
        <v>71111.19580643685</v>
      </c>
      <c r="G10" s="66">
        <f>'5_Calcul des montants d''impôt'!G5</f>
        <v>71111.19580643685</v>
      </c>
      <c r="H10" s="66">
        <f>'5_Calcul des montants d''impôt'!H5</f>
        <v>71062.23175965666</v>
      </c>
      <c r="I10" s="66">
        <f>'5_Calcul des montants d''impôt'!I5</f>
        <v>71062.23175965666</v>
      </c>
      <c r="J10" s="66">
        <f>'5_Calcul des montants d''impôt'!J5</f>
        <v>71062.23175965666</v>
      </c>
      <c r="K10" s="66">
        <f>'5_Calcul des montants d''impôt'!K5</f>
        <v>60911.006186228</v>
      </c>
      <c r="L10" s="66">
        <f>'5_Calcul des montants d''impôt'!L5</f>
        <v>63192.39144276073</v>
      </c>
      <c r="M10" s="66">
        <f>'5_Calcul des montants d''impôt'!M5</f>
        <v>63340.45878033949</v>
      </c>
      <c r="N10" s="66">
        <f>'5_Calcul des montants d''impôt'!N5</f>
        <v>63538.92252317378</v>
      </c>
      <c r="O10" s="66">
        <f>'5_Calcul des montants d''impôt'!O5</f>
        <v>63788.1883871748</v>
      </c>
      <c r="P10" s="66">
        <f>'5_Calcul des montants d''impôt'!P5</f>
        <v>64065.11779707329</v>
      </c>
    </row>
    <row r="11" spans="2:16" ht="18.75" customHeight="1" thickBot="1">
      <c r="B11" s="217"/>
      <c r="C11" s="17" t="s">
        <v>342</v>
      </c>
      <c r="D11" s="141">
        <v>71857</v>
      </c>
      <c r="E11" s="141">
        <v>71544</v>
      </c>
      <c r="F11" s="141">
        <v>71112</v>
      </c>
      <c r="G11" s="141">
        <v>71112</v>
      </c>
      <c r="H11" s="141">
        <v>71062</v>
      </c>
      <c r="I11" s="141">
        <v>71062</v>
      </c>
      <c r="J11" s="141">
        <v>71062</v>
      </c>
      <c r="K11" s="141">
        <v>60911</v>
      </c>
      <c r="L11" s="141">
        <v>63189</v>
      </c>
      <c r="M11" s="141">
        <v>63342</v>
      </c>
      <c r="N11" s="141">
        <v>63537</v>
      </c>
      <c r="O11" s="141">
        <v>63784</v>
      </c>
      <c r="P11" s="141">
        <v>64064</v>
      </c>
    </row>
    <row r="12" spans="2:16" ht="19.5" customHeight="1" thickBot="1">
      <c r="B12" s="218"/>
      <c r="C12" s="17" t="s">
        <v>230</v>
      </c>
      <c r="D12" s="66">
        <f>D10-D11</f>
        <v>3.9074771164741833</v>
      </c>
      <c r="E12" s="66">
        <f aca="true" t="shared" si="2" ref="E12:P12">E10-E11</f>
        <v>3.1567323580384254</v>
      </c>
      <c r="F12" s="66">
        <f t="shared" si="2"/>
        <v>-0.8041935631481465</v>
      </c>
      <c r="G12" s="66">
        <f t="shared" si="2"/>
        <v>-0.8041935631481465</v>
      </c>
      <c r="H12" s="66">
        <f t="shared" si="2"/>
        <v>0.23175965665723197</v>
      </c>
      <c r="I12" s="66">
        <f t="shared" si="2"/>
        <v>0.23175965665723197</v>
      </c>
      <c r="J12" s="66">
        <f t="shared" si="2"/>
        <v>0.23175965665723197</v>
      </c>
      <c r="K12" s="66">
        <f t="shared" si="2"/>
        <v>0.006186227998114191</v>
      </c>
      <c r="L12" s="66">
        <f t="shared" si="2"/>
        <v>3.3914427607305697</v>
      </c>
      <c r="M12" s="66">
        <f t="shared" si="2"/>
        <v>-1.5412196605102508</v>
      </c>
      <c r="N12" s="66">
        <f t="shared" si="2"/>
        <v>1.922523173780064</v>
      </c>
      <c r="O12" s="66">
        <f t="shared" si="2"/>
        <v>4.188387174799573</v>
      </c>
      <c r="P12" s="66">
        <f t="shared" si="2"/>
        <v>1.1177970732896938</v>
      </c>
    </row>
    <row r="13" spans="2:16" ht="23.25" customHeight="1" thickBot="1">
      <c r="B13" s="219" t="s">
        <v>234</v>
      </c>
      <c r="C13" s="230"/>
      <c r="D13" s="66">
        <v>1000000</v>
      </c>
      <c r="E13" s="66">
        <v>1000000</v>
      </c>
      <c r="F13" s="66">
        <v>1000000</v>
      </c>
      <c r="G13" s="66">
        <v>1000000</v>
      </c>
      <c r="H13" s="66">
        <v>1000000</v>
      </c>
      <c r="I13" s="66">
        <v>1000000</v>
      </c>
      <c r="J13" s="66">
        <v>1000000</v>
      </c>
      <c r="K13" s="66">
        <v>1000000</v>
      </c>
      <c r="L13" s="66">
        <v>1000000</v>
      </c>
      <c r="M13" s="66">
        <v>1000000</v>
      </c>
      <c r="N13" s="66">
        <v>1000000</v>
      </c>
      <c r="O13" s="66">
        <v>1000000</v>
      </c>
      <c r="P13" s="66">
        <v>1000000</v>
      </c>
    </row>
    <row r="14" spans="2:16" ht="13.5" thickBot="1">
      <c r="B14" s="249" t="s">
        <v>239</v>
      </c>
      <c r="C14" s="17" t="s">
        <v>341</v>
      </c>
      <c r="D14" s="143">
        <f>D13-D4</f>
        <v>716437.8313991476</v>
      </c>
      <c r="E14" s="143">
        <f aca="true" t="shared" si="3" ref="E14:P14">E13-E4</f>
        <v>713236.293187327</v>
      </c>
      <c r="F14" s="143">
        <f t="shared" si="3"/>
        <v>708787.7123105801</v>
      </c>
      <c r="G14" s="143">
        <f t="shared" si="3"/>
        <v>708787.7123105801</v>
      </c>
      <c r="H14" s="143">
        <f t="shared" si="3"/>
        <v>708798.2832618026</v>
      </c>
      <c r="I14" s="143">
        <f t="shared" si="3"/>
        <v>708798.2832618026</v>
      </c>
      <c r="J14" s="143">
        <f t="shared" si="3"/>
        <v>708798.2832618026</v>
      </c>
      <c r="K14" s="143">
        <f t="shared" si="3"/>
        <v>716600.0727791528</v>
      </c>
      <c r="L14" s="143">
        <f t="shared" si="3"/>
        <v>743439.8993265968</v>
      </c>
      <c r="M14" s="143">
        <f t="shared" si="3"/>
        <v>745181.868003994</v>
      </c>
      <c r="N14" s="143">
        <f t="shared" si="3"/>
        <v>747516.7355667503</v>
      </c>
      <c r="O14" s="143">
        <f t="shared" si="3"/>
        <v>750449.2751432329</v>
      </c>
      <c r="P14" s="143">
        <f t="shared" si="3"/>
        <v>753707.2682008622</v>
      </c>
    </row>
    <row r="15" spans="2:16" ht="13.5" thickBot="1">
      <c r="B15" s="217"/>
      <c r="C15" s="17" t="s">
        <v>342</v>
      </c>
      <c r="D15" s="144">
        <v>716400</v>
      </c>
      <c r="E15" s="144">
        <v>713200</v>
      </c>
      <c r="F15" s="144">
        <v>708800</v>
      </c>
      <c r="G15" s="144">
        <v>708800</v>
      </c>
      <c r="H15" s="144">
        <v>708800</v>
      </c>
      <c r="I15" s="144">
        <v>708800</v>
      </c>
      <c r="J15" s="144">
        <v>708800</v>
      </c>
      <c r="K15" s="144">
        <v>716600</v>
      </c>
      <c r="L15" s="144">
        <v>743400</v>
      </c>
      <c r="M15" s="144">
        <v>745200</v>
      </c>
      <c r="N15" s="144">
        <v>747500</v>
      </c>
      <c r="O15" s="144">
        <v>750400</v>
      </c>
      <c r="P15" s="144">
        <v>753700</v>
      </c>
    </row>
    <row r="16" spans="2:16" ht="25.5" customHeight="1" thickBot="1">
      <c r="B16" s="218"/>
      <c r="C16" s="17" t="s">
        <v>230</v>
      </c>
      <c r="D16" s="66">
        <f>D14-D15</f>
        <v>37.8313991476316</v>
      </c>
      <c r="E16" s="66">
        <f aca="true" t="shared" si="4" ref="E16:P16">E14-E15</f>
        <v>36.29318732698448</v>
      </c>
      <c r="F16" s="66">
        <f t="shared" si="4"/>
        <v>-12.287689419928938</v>
      </c>
      <c r="G16" s="66">
        <f t="shared" si="4"/>
        <v>-12.287689419928938</v>
      </c>
      <c r="H16" s="66">
        <f t="shared" si="4"/>
        <v>-1.7167381973704323</v>
      </c>
      <c r="I16" s="66">
        <f t="shared" si="4"/>
        <v>-1.7167381973704323</v>
      </c>
      <c r="J16" s="66">
        <f t="shared" si="4"/>
        <v>-1.7167381973704323</v>
      </c>
      <c r="K16" s="66">
        <f t="shared" si="4"/>
        <v>0.07277915277518332</v>
      </c>
      <c r="L16" s="66">
        <f t="shared" si="4"/>
        <v>39.89932659675833</v>
      </c>
      <c r="M16" s="66">
        <f t="shared" si="4"/>
        <v>-18.131996006006375</v>
      </c>
      <c r="N16" s="66">
        <f t="shared" si="4"/>
        <v>16.735566750285216</v>
      </c>
      <c r="O16" s="66">
        <f t="shared" si="4"/>
        <v>49.27514323289506</v>
      </c>
      <c r="P16" s="66">
        <f t="shared" si="4"/>
        <v>7.26820086222142</v>
      </c>
    </row>
    <row r="17" spans="2:16" ht="13.5" thickBot="1">
      <c r="B17" s="249" t="s">
        <v>240</v>
      </c>
      <c r="C17" s="17" t="s">
        <v>341</v>
      </c>
      <c r="D17" s="143">
        <f>D13-D4</f>
        <v>716437.8313991476</v>
      </c>
      <c r="E17" s="143">
        <f aca="true" t="shared" si="5" ref="E17:P17">E13-E4</f>
        <v>713236.293187327</v>
      </c>
      <c r="F17" s="143">
        <f t="shared" si="5"/>
        <v>708787.7123105801</v>
      </c>
      <c r="G17" s="143">
        <f t="shared" si="5"/>
        <v>708787.7123105801</v>
      </c>
      <c r="H17" s="143">
        <f t="shared" si="5"/>
        <v>708798.2832618026</v>
      </c>
      <c r="I17" s="143">
        <f t="shared" si="5"/>
        <v>708798.2832618026</v>
      </c>
      <c r="J17" s="143">
        <f t="shared" si="5"/>
        <v>708798.2832618026</v>
      </c>
      <c r="K17" s="143">
        <f t="shared" si="5"/>
        <v>716600.0727791528</v>
      </c>
      <c r="L17" s="143">
        <f t="shared" si="5"/>
        <v>743439.8993265968</v>
      </c>
      <c r="M17" s="143">
        <f t="shared" si="5"/>
        <v>745181.868003994</v>
      </c>
      <c r="N17" s="143">
        <f t="shared" si="5"/>
        <v>747516.7355667503</v>
      </c>
      <c r="O17" s="143">
        <f t="shared" si="5"/>
        <v>750449.2751432329</v>
      </c>
      <c r="P17" s="143">
        <f t="shared" si="5"/>
        <v>753707.2682008622</v>
      </c>
    </row>
    <row r="18" spans="2:16" ht="13.5" thickBot="1">
      <c r="B18" s="217"/>
      <c r="C18" s="17" t="s">
        <v>342</v>
      </c>
      <c r="D18" s="144">
        <v>716400</v>
      </c>
      <c r="E18" s="144">
        <v>713200</v>
      </c>
      <c r="F18" s="144">
        <v>708800</v>
      </c>
      <c r="G18" s="144">
        <v>708800</v>
      </c>
      <c r="H18" s="144">
        <v>708800</v>
      </c>
      <c r="I18" s="144">
        <v>708800</v>
      </c>
      <c r="J18" s="144">
        <v>708800</v>
      </c>
      <c r="K18" s="144">
        <v>716600</v>
      </c>
      <c r="L18" s="144">
        <v>743400</v>
      </c>
      <c r="M18" s="144">
        <v>745200</v>
      </c>
      <c r="N18" s="144">
        <v>747500</v>
      </c>
      <c r="O18" s="144">
        <v>750400</v>
      </c>
      <c r="P18" s="144">
        <v>753700</v>
      </c>
    </row>
    <row r="19" spans="2:16" ht="13.5" thickBot="1">
      <c r="B19" s="218"/>
      <c r="C19" s="17" t="s">
        <v>230</v>
      </c>
      <c r="D19" s="66">
        <f>D17-D18</f>
        <v>37.8313991476316</v>
      </c>
      <c r="E19" s="66">
        <f aca="true" t="shared" si="6" ref="E19:P19">E17-E18</f>
        <v>36.29318732698448</v>
      </c>
      <c r="F19" s="66">
        <f t="shared" si="6"/>
        <v>-12.287689419928938</v>
      </c>
      <c r="G19" s="66">
        <f t="shared" si="6"/>
        <v>-12.287689419928938</v>
      </c>
      <c r="H19" s="66">
        <f t="shared" si="6"/>
        <v>-1.7167381973704323</v>
      </c>
      <c r="I19" s="66">
        <f t="shared" si="6"/>
        <v>-1.7167381973704323</v>
      </c>
      <c r="J19" s="66">
        <f t="shared" si="6"/>
        <v>-1.7167381973704323</v>
      </c>
      <c r="K19" s="66">
        <f t="shared" si="6"/>
        <v>0.07277915277518332</v>
      </c>
      <c r="L19" s="66">
        <f t="shared" si="6"/>
        <v>39.89932659675833</v>
      </c>
      <c r="M19" s="66">
        <f t="shared" si="6"/>
        <v>-18.131996006006375</v>
      </c>
      <c r="N19" s="66">
        <f t="shared" si="6"/>
        <v>16.735566750285216</v>
      </c>
      <c r="O19" s="66">
        <f t="shared" si="6"/>
        <v>49.27514323289506</v>
      </c>
      <c r="P19" s="66">
        <f t="shared" si="6"/>
        <v>7.26820086222142</v>
      </c>
    </row>
  </sheetData>
  <mergeCells count="7">
    <mergeCell ref="B14:B16"/>
    <mergeCell ref="B13:C13"/>
    <mergeCell ref="B17:B19"/>
    <mergeCell ref="B3:C3"/>
    <mergeCell ref="B4:B6"/>
    <mergeCell ref="B7:B9"/>
    <mergeCell ref="B10:B12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H1">
      <selection activeCell="Q1" sqref="Q1:T16384"/>
    </sheetView>
  </sheetViews>
  <sheetFormatPr defaultColWidth="12" defaultRowHeight="11.25"/>
  <cols>
    <col min="1" max="1" width="5.33203125" style="0" customWidth="1"/>
    <col min="2" max="2" width="34.66015625" style="0" customWidth="1"/>
    <col min="3" max="3" width="42.16015625" style="0" customWidth="1"/>
    <col min="4" max="4" width="15.33203125" style="0" customWidth="1"/>
  </cols>
  <sheetData>
    <row r="1" spans="1:4" ht="11.25">
      <c r="A1" s="142" t="s">
        <v>322</v>
      </c>
      <c r="D1" s="10"/>
    </row>
    <row r="2" ht="12" thickBot="1"/>
    <row r="3" spans="2:16" ht="31.5" customHeight="1" thickBot="1">
      <c r="B3" s="213" t="s">
        <v>263</v>
      </c>
      <c r="C3" s="230"/>
      <c r="D3" s="129">
        <v>1991</v>
      </c>
      <c r="E3" s="129">
        <v>1992</v>
      </c>
      <c r="F3" s="129">
        <v>1993</v>
      </c>
      <c r="G3" s="129">
        <v>1994</v>
      </c>
      <c r="H3" s="129">
        <v>1995</v>
      </c>
      <c r="I3" s="129">
        <v>1996</v>
      </c>
      <c r="J3" s="129">
        <v>1997</v>
      </c>
      <c r="K3" s="129">
        <v>1998</v>
      </c>
      <c r="L3" s="129">
        <v>1999</v>
      </c>
      <c r="M3" s="129">
        <v>2000</v>
      </c>
      <c r="N3" s="129">
        <v>2001</v>
      </c>
      <c r="O3" s="129">
        <v>2002</v>
      </c>
      <c r="P3" s="129">
        <v>2003</v>
      </c>
    </row>
    <row r="4" spans="2:16" ht="52.5" customHeight="1" thickBot="1">
      <c r="B4" s="47" t="s">
        <v>221</v>
      </c>
      <c r="C4" s="87" t="s">
        <v>174</v>
      </c>
      <c r="D4" s="66">
        <f>'6_Recap  t'' pour montant'!D4*1000000</f>
        <v>283562.1686008523</v>
      </c>
      <c r="E4" s="66">
        <f>'6_Recap  t'' pour montant'!E4*1000000</f>
        <v>286763.7068126731</v>
      </c>
      <c r="F4" s="66">
        <f>'6_Recap  t'' pour montant'!F4*1000000</f>
        <v>291212.2876894199</v>
      </c>
      <c r="G4" s="66">
        <f>'6_Recap  t'' pour montant'!G4*1000000</f>
        <v>291212.2876894199</v>
      </c>
      <c r="H4" s="66">
        <f>'6_Recap  t'' pour montant'!H4*1000000</f>
        <v>291201.71673819737</v>
      </c>
      <c r="I4" s="66">
        <f>'6_Recap  t'' pour montant'!I4*1000000</f>
        <v>291201.71673819737</v>
      </c>
      <c r="J4" s="66">
        <f>'6_Recap  t'' pour montant'!J4*1000000</f>
        <v>291201.71673819737</v>
      </c>
      <c r="K4" s="66">
        <f>'6_Recap  t'' pour montant'!K4*1000000</f>
        <v>283399.92722084717</v>
      </c>
      <c r="L4" s="66">
        <f>'6_Recap  t'' pour montant'!L4*1000000</f>
        <v>256560.10067340324</v>
      </c>
      <c r="M4" s="66">
        <f>'6_Recap  t'' pour montant'!M4*1000000</f>
        <v>254818.13199600606</v>
      </c>
      <c r="N4" s="66">
        <f>'6_Recap  t'' pour montant'!N4*1000000</f>
        <v>252483.26443324974</v>
      </c>
      <c r="O4" s="66">
        <f>'6_Recap  t'' pour montant'!O4*1000000</f>
        <v>249550.7248567671</v>
      </c>
      <c r="P4" s="66">
        <f>'6_Recap  t'' pour montant'!P4*1000000</f>
        <v>246292.73179913778</v>
      </c>
    </row>
    <row r="5" spans="2:16" ht="57" customHeight="1" thickBot="1">
      <c r="B5" s="47" t="s">
        <v>222</v>
      </c>
      <c r="C5" s="87" t="s">
        <v>136</v>
      </c>
      <c r="D5" s="66">
        <f>'6_Recap  t'' pour montant'!D5*1000000</f>
        <v>71860.90747711647</v>
      </c>
      <c r="E5" s="66">
        <f>'6_Recap  t'' pour montant'!E5*1000000</f>
        <v>71547.15673235804</v>
      </c>
      <c r="F5" s="66">
        <f>'6_Recap  t'' pour montant'!F5*1000000</f>
        <v>71111.19580643685</v>
      </c>
      <c r="G5" s="66">
        <f>'6_Recap  t'' pour montant'!G5*1000000</f>
        <v>71111.19580643685</v>
      </c>
      <c r="H5" s="66">
        <f>'6_Recap  t'' pour montant'!H5*1000000</f>
        <v>71062.23175965666</v>
      </c>
      <c r="I5" s="66">
        <f>'6_Recap  t'' pour montant'!I5*1000000</f>
        <v>71062.23175965666</v>
      </c>
      <c r="J5" s="66">
        <f>'6_Recap  t'' pour montant'!J5*1000000</f>
        <v>71062.23175965666</v>
      </c>
      <c r="K5" s="66">
        <f>'6_Recap  t'' pour montant'!K5*1000000</f>
        <v>60911.006186228</v>
      </c>
      <c r="L5" s="66">
        <f>'6_Recap  t'' pour montant'!L5*1000000</f>
        <v>63192.39144276073</v>
      </c>
      <c r="M5" s="66">
        <f>'6_Recap  t'' pour montant'!M5*1000000</f>
        <v>63340.45878033949</v>
      </c>
      <c r="N5" s="66">
        <f>'6_Recap  t'' pour montant'!N5*1000000</f>
        <v>63538.92252317378</v>
      </c>
      <c r="O5" s="66">
        <f>'6_Recap  t'' pour montant'!O5*1000000</f>
        <v>63788.1883871748</v>
      </c>
      <c r="P5" s="66">
        <f>'6_Recap  t'' pour montant'!P5*1000000</f>
        <v>64065.11779707329</v>
      </c>
    </row>
    <row r="6" spans="2:16" ht="36" customHeight="1" thickBot="1">
      <c r="B6" s="47" t="s">
        <v>223</v>
      </c>
      <c r="C6" s="87" t="s">
        <v>138</v>
      </c>
      <c r="D6" s="66">
        <f>'6_Recap  t'' pour montant'!D6*1000000</f>
        <v>70210.90747711647</v>
      </c>
      <c r="E6" s="66">
        <f>'6_Recap  t'' pour montant'!E6*1000000</f>
        <v>69897.15673235804</v>
      </c>
      <c r="F6" s="66">
        <f>'6_Recap  t'' pour montant'!F6*1000000</f>
        <v>69461.19580643685</v>
      </c>
      <c r="G6" s="66">
        <f>'6_Recap  t'' pour montant'!G6*1000000</f>
        <v>69461.19580643685</v>
      </c>
      <c r="H6" s="66">
        <f>'6_Recap  t'' pour montant'!H6*1000000</f>
        <v>69462.23175965666</v>
      </c>
      <c r="I6" s="66">
        <f>'6_Recap  t'' pour montant'!I6*1000000</f>
        <v>69462.23175965666</v>
      </c>
      <c r="J6" s="66">
        <f>'6_Recap  t'' pour montant'!J6*1000000</f>
        <v>69462.23175965666</v>
      </c>
      <c r="K6" s="66">
        <f>'6_Recap  t'' pour montant'!K6*1000000</f>
        <v>60911.006186228</v>
      </c>
      <c r="L6" s="66">
        <f>'6_Recap  t'' pour montant'!L6*1000000</f>
        <v>63192.39144276073</v>
      </c>
      <c r="M6" s="66">
        <f>'6_Recap  t'' pour montant'!M6*1000000</f>
        <v>63340.45878033949</v>
      </c>
      <c r="N6" s="66">
        <f>'6_Recap  t'' pour montant'!N6*1000000</f>
        <v>63538.92252317378</v>
      </c>
      <c r="O6" s="66">
        <f>'6_Recap  t'' pour montant'!O6*1000000</f>
        <v>63788.1883871748</v>
      </c>
      <c r="P6" s="66">
        <f>'6_Recap  t'' pour montant'!P6*1000000</f>
        <v>64065.11779707329</v>
      </c>
    </row>
    <row r="7" spans="2:16" ht="31.5" customHeight="1" thickBot="1">
      <c r="B7" s="47" t="s">
        <v>224</v>
      </c>
      <c r="C7" s="87" t="s">
        <v>137</v>
      </c>
      <c r="D7" s="66">
        <f>'6_Recap  t'' pour montant'!D7*1000000</f>
        <v>1650</v>
      </c>
      <c r="E7" s="66">
        <f>'6_Recap  t'' pour montant'!E7*1000000</f>
        <v>1650</v>
      </c>
      <c r="F7" s="66">
        <f>'6_Recap  t'' pour montant'!F7*1000000</f>
        <v>1650</v>
      </c>
      <c r="G7" s="66">
        <f>'6_Recap  t'' pour montant'!G7*1000000</f>
        <v>1650</v>
      </c>
      <c r="H7" s="66">
        <f>'6_Recap  t'' pour montant'!H7*1000000</f>
        <v>1600</v>
      </c>
      <c r="I7" s="66">
        <f>'6_Recap  t'' pour montant'!I7*1000000</f>
        <v>1600</v>
      </c>
      <c r="J7" s="66">
        <f>'6_Recap  t'' pour montant'!J7*1000000</f>
        <v>1600</v>
      </c>
      <c r="K7" s="66">
        <f>'6_Recap  t'' pour montant'!K7*1000000</f>
        <v>0</v>
      </c>
      <c r="L7" s="66">
        <f>'6_Recap  t'' pour montant'!L7*1000000</f>
        <v>0</v>
      </c>
      <c r="M7" s="66">
        <f>'6_Recap  t'' pour montant'!M7*1000000</f>
        <v>0</v>
      </c>
      <c r="N7" s="66">
        <f>'6_Recap  t'' pour montant'!N7*1000000</f>
        <v>0</v>
      </c>
      <c r="O7" s="66">
        <f>'6_Recap  t'' pour montant'!O7*1000000</f>
        <v>0</v>
      </c>
      <c r="P7" s="66">
        <f>'6_Recap  t'' pour montant'!P7*1000000</f>
        <v>0</v>
      </c>
    </row>
    <row r="8" spans="2:16" ht="53.25" customHeight="1" thickBot="1">
      <c r="B8" s="47" t="s">
        <v>225</v>
      </c>
      <c r="C8" s="87" t="s">
        <v>139</v>
      </c>
      <c r="D8" s="66">
        <f>'6_Recap  t'' pour montant'!D8*1000000</f>
        <v>211701.26112373587</v>
      </c>
      <c r="E8" s="66">
        <f>'6_Recap  t'' pour montant'!E8*1000000</f>
        <v>215216.550080315</v>
      </c>
      <c r="F8" s="66">
        <f>'6_Recap  t'' pour montant'!F8*1000000</f>
        <v>220101.09188298314</v>
      </c>
      <c r="G8" s="66">
        <f>'6_Recap  t'' pour montant'!G8*1000000</f>
        <v>220101.09188298314</v>
      </c>
      <c r="H8" s="66">
        <f>'6_Recap  t'' pour montant'!H8*1000000</f>
        <v>220139.48497854077</v>
      </c>
      <c r="I8" s="66">
        <f>'6_Recap  t'' pour montant'!I8*1000000</f>
        <v>220139.48497854077</v>
      </c>
      <c r="J8" s="66">
        <f>'6_Recap  t'' pour montant'!J8*1000000</f>
        <v>220139.48497854077</v>
      </c>
      <c r="K8" s="66">
        <f>'6_Recap  t'' pour montant'!K8*1000000</f>
        <v>222488.92103461915</v>
      </c>
      <c r="L8" s="66">
        <f>'6_Recap  t'' pour montant'!L8*1000000</f>
        <v>193367.70923064245</v>
      </c>
      <c r="M8" s="66">
        <f>'6_Recap  t'' pour montant'!M8*1000000</f>
        <v>191477.67321566655</v>
      </c>
      <c r="N8" s="66">
        <f>'6_Recap  t'' pour montant'!N8*1000000</f>
        <v>188944.34191007598</v>
      </c>
      <c r="O8" s="66">
        <f>'6_Recap  t'' pour montant'!O8*1000000</f>
        <v>185762.53646959228</v>
      </c>
      <c r="P8" s="66">
        <f>'6_Recap  t'' pour montant'!P8*1000000</f>
        <v>182227.61400206448</v>
      </c>
    </row>
    <row r="9" spans="2:16" ht="26.25" thickBot="1">
      <c r="B9" s="47" t="s">
        <v>226</v>
      </c>
      <c r="C9" s="87" t="s">
        <v>140</v>
      </c>
      <c r="D9" s="66">
        <f>'6_Recap  t'' pour montant'!D9*1000000</f>
        <v>204563.06112373585</v>
      </c>
      <c r="E9" s="66">
        <f>'6_Recap  t'' pour montant'!E9*1000000</f>
        <v>207928.35008031502</v>
      </c>
      <c r="F9" s="66">
        <f>'6_Recap  t'' pour montant'!F9*1000000</f>
        <v>212602.29188298312</v>
      </c>
      <c r="G9" s="66">
        <f>'6_Recap  t'' pour montant'!G9*1000000</f>
        <v>212602.29188298312</v>
      </c>
      <c r="H9" s="66">
        <f>'6_Recap  t'' pour montant'!H9*1000000</f>
        <v>212639.48497854077</v>
      </c>
      <c r="I9" s="66">
        <f>'6_Recap  t'' pour montant'!I9*1000000</f>
        <v>212639.48497854077</v>
      </c>
      <c r="J9" s="66">
        <f>'6_Recap  t'' pour montant'!J9*1000000</f>
        <v>212639.48497854077</v>
      </c>
      <c r="K9" s="66">
        <f>'6_Recap  t'' pour montant'!K9*1000000</f>
        <v>214988.62103461917</v>
      </c>
      <c r="L9" s="66">
        <f>'6_Recap  t'' pour montant'!L9*1000000</f>
        <v>185867.40923064246</v>
      </c>
      <c r="M9" s="66">
        <f>'6_Recap  t'' pour montant'!M9*1000000</f>
        <v>184067.37321566654</v>
      </c>
      <c r="N9" s="66">
        <f>'6_Recap  t'' pour montant'!N9*1000000</f>
        <v>181654.04191007596</v>
      </c>
      <c r="O9" s="66">
        <f>'6_Recap  t'' pour montant'!O9*1000000</f>
        <v>178621.9364695923</v>
      </c>
      <c r="P9" s="66">
        <f>'6_Recap  t'' pour montant'!P9*1000000</f>
        <v>175252.01400206448</v>
      </c>
    </row>
    <row r="10" spans="2:16" ht="36" customHeight="1" thickBot="1">
      <c r="B10" s="47" t="s">
        <v>227</v>
      </c>
      <c r="C10" s="87" t="s">
        <v>141</v>
      </c>
      <c r="D10" s="66">
        <f>'6_Recap  t'' pour montant'!D10*1000000</f>
        <v>7138.2</v>
      </c>
      <c r="E10" s="66">
        <f>'6_Recap  t'' pour montant'!E10*1000000</f>
        <v>7288.200000000001</v>
      </c>
      <c r="F10" s="66">
        <f>'6_Recap  t'' pour montant'!F10*1000000</f>
        <v>7498.8</v>
      </c>
      <c r="G10" s="66">
        <f>'6_Recap  t'' pour montant'!G10*1000000</f>
        <v>7498.8</v>
      </c>
      <c r="H10" s="66">
        <f>'6_Recap  t'' pour montant'!H10*1000000</f>
        <v>7500</v>
      </c>
      <c r="I10" s="66">
        <f>'6_Recap  t'' pour montant'!I10*1000000</f>
        <v>7500</v>
      </c>
      <c r="J10" s="66">
        <f>'6_Recap  t'' pour montant'!J10*1000000</f>
        <v>7500</v>
      </c>
      <c r="K10" s="66">
        <f>'6_Recap  t'' pour montant'!K10*1000000</f>
        <v>7500.299999999999</v>
      </c>
      <c r="L10" s="66">
        <f>'6_Recap  t'' pour montant'!L10*1000000</f>
        <v>7500.299999999999</v>
      </c>
      <c r="M10" s="66">
        <f>'6_Recap  t'' pour montant'!M10*1000000</f>
        <v>7410.3</v>
      </c>
      <c r="N10" s="66">
        <f>'6_Recap  t'' pour montant'!N10*1000000</f>
        <v>7290.299999999999</v>
      </c>
      <c r="O10" s="66">
        <f>'6_Recap  t'' pour montant'!O10*1000000</f>
        <v>7140.599999999999</v>
      </c>
      <c r="P10" s="66">
        <f>'6_Recap  t'' pour montant'!P10*1000000</f>
        <v>6975.599999999999</v>
      </c>
    </row>
    <row r="11" spans="2:16" ht="35.25" customHeight="1" thickBot="1">
      <c r="B11" s="47" t="s">
        <v>228</v>
      </c>
      <c r="C11" s="87" t="s">
        <v>142</v>
      </c>
      <c r="D11" s="66">
        <f>'6_Recap  t'' pour montant'!D11*1000000</f>
        <v>274773.96860085236</v>
      </c>
      <c r="E11" s="66">
        <f>'6_Recap  t'' pour montant'!E11*1000000</f>
        <v>277825.50681267306</v>
      </c>
      <c r="F11" s="66">
        <f>'6_Recap  t'' pour montant'!F11*1000000</f>
        <v>282063.48768941994</v>
      </c>
      <c r="G11" s="66">
        <f>'6_Recap  t'' pour montant'!G11*1000000</f>
        <v>282063.48768941994</v>
      </c>
      <c r="H11" s="66">
        <f>'6_Recap  t'' pour montant'!H11*1000000</f>
        <v>282101.71673819737</v>
      </c>
      <c r="I11" s="66">
        <f>'6_Recap  t'' pour montant'!I11*1000000</f>
        <v>282101.71673819737</v>
      </c>
      <c r="J11" s="66">
        <f>'6_Recap  t'' pour montant'!J11*1000000</f>
        <v>282101.71673819737</v>
      </c>
      <c r="K11" s="66">
        <f>'6_Recap  t'' pour montant'!K11*1000000</f>
        <v>275899.6272208472</v>
      </c>
      <c r="L11" s="66">
        <f>'6_Recap  t'' pour montant'!L11*1000000</f>
        <v>249059.8006734032</v>
      </c>
      <c r="M11" s="66">
        <f>'6_Recap  t'' pour montant'!M11*1000000</f>
        <v>247407.83199600602</v>
      </c>
      <c r="N11" s="66">
        <f>'6_Recap  t'' pour montant'!N11*1000000</f>
        <v>245192.96443324976</v>
      </c>
      <c r="O11" s="66">
        <f>'6_Recap  t'' pour montant'!O11*1000000</f>
        <v>242410.1248567671</v>
      </c>
      <c r="P11" s="66">
        <f>'6_Recap  t'' pour montant'!P11*1000000</f>
        <v>239317.13179913777</v>
      </c>
    </row>
    <row r="12" spans="2:16" ht="33" customHeight="1" thickBot="1">
      <c r="B12" s="47" t="s">
        <v>229</v>
      </c>
      <c r="C12" s="87" t="s">
        <v>143</v>
      </c>
      <c r="D12" s="66">
        <f>'6_Recap  t'' pour montant'!D12*1000000</f>
        <v>8788.199999999999</v>
      </c>
      <c r="E12" s="66">
        <f>'6_Recap  t'' pour montant'!E12*1000000</f>
        <v>8938.2</v>
      </c>
      <c r="F12" s="66">
        <f>'6_Recap  t'' pour montant'!F12*1000000</f>
        <v>9148.800000000001</v>
      </c>
      <c r="G12" s="66">
        <f>'6_Recap  t'' pour montant'!G12*1000000</f>
        <v>9148.800000000001</v>
      </c>
      <c r="H12" s="66">
        <f>'6_Recap  t'' pour montant'!H12*1000000</f>
        <v>9100</v>
      </c>
      <c r="I12" s="66">
        <f>'6_Recap  t'' pour montant'!I12*1000000</f>
        <v>9100</v>
      </c>
      <c r="J12" s="66">
        <f>'6_Recap  t'' pour montant'!J12*1000000</f>
        <v>9100</v>
      </c>
      <c r="K12" s="66">
        <f>'6_Recap  t'' pour montant'!K12*1000000</f>
        <v>7500.299999999999</v>
      </c>
      <c r="L12" s="66">
        <f>'6_Recap  t'' pour montant'!L12*1000000</f>
        <v>7500.299999999999</v>
      </c>
      <c r="M12" s="66">
        <f>'6_Recap  t'' pour montant'!M12*1000000</f>
        <v>7410.3</v>
      </c>
      <c r="N12" s="66">
        <f>'6_Recap  t'' pour montant'!N12*1000000</f>
        <v>7290.299999999999</v>
      </c>
      <c r="O12" s="66">
        <f>'6_Recap  t'' pour montant'!O12*1000000</f>
        <v>7140.599999999999</v>
      </c>
      <c r="P12" s="66">
        <f>'6_Recap  t'' pour montant'!P12*1000000</f>
        <v>6975.599999999999</v>
      </c>
    </row>
    <row r="13" ht="11.25">
      <c r="D13" s="81"/>
    </row>
    <row r="15" ht="11.25">
      <c r="D15" s="44"/>
    </row>
    <row r="16" ht="11.25">
      <c r="D16" s="44"/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J1">
      <selection activeCell="Q1" sqref="Q1:T16384"/>
    </sheetView>
  </sheetViews>
  <sheetFormatPr defaultColWidth="12" defaultRowHeight="11.25"/>
  <cols>
    <col min="1" max="1" width="5.33203125" style="0" customWidth="1"/>
    <col min="2" max="2" width="34.66015625" style="0" customWidth="1"/>
    <col min="3" max="3" width="42.16015625" style="0" customWidth="1"/>
    <col min="4" max="4" width="15.33203125" style="0" customWidth="1"/>
  </cols>
  <sheetData>
    <row r="1" ht="11.25">
      <c r="A1" s="142" t="s">
        <v>322</v>
      </c>
    </row>
    <row r="2" ht="12" thickBot="1"/>
    <row r="3" spans="2:16" ht="31.5" customHeight="1" thickBot="1">
      <c r="B3" s="213" t="s">
        <v>309</v>
      </c>
      <c r="C3" s="230"/>
      <c r="D3" s="129">
        <v>1991</v>
      </c>
      <c r="E3" s="129">
        <v>1992</v>
      </c>
      <c r="F3" s="129">
        <v>1993</v>
      </c>
      <c r="G3" s="129">
        <v>1994</v>
      </c>
      <c r="H3" s="129">
        <v>1995</v>
      </c>
      <c r="I3" s="129">
        <v>1996</v>
      </c>
      <c r="J3" s="129">
        <v>1997</v>
      </c>
      <c r="K3" s="129">
        <v>1998</v>
      </c>
      <c r="L3" s="129">
        <v>1999</v>
      </c>
      <c r="M3" s="129">
        <v>2000</v>
      </c>
      <c r="N3" s="129">
        <v>2001</v>
      </c>
      <c r="O3" s="129">
        <v>2002</v>
      </c>
      <c r="P3" s="129">
        <v>2003</v>
      </c>
    </row>
    <row r="4" spans="2:16" ht="52.5" customHeight="1" thickBot="1">
      <c r="B4" s="47" t="s">
        <v>144</v>
      </c>
      <c r="C4" s="87" t="s">
        <v>135</v>
      </c>
      <c r="D4" s="88">
        <f>'7_ t'' pour version texte'!D22</f>
        <v>0.2835621686008523</v>
      </c>
      <c r="E4" s="88">
        <f>'7_ t'' pour version texte'!E22</f>
        <v>0.2867637068126731</v>
      </c>
      <c r="F4" s="88">
        <f>'7_ t'' pour version texte'!F22</f>
        <v>0.2912122876894199</v>
      </c>
      <c r="G4" s="88">
        <f>'7_ t'' pour version texte'!G22</f>
        <v>0.2912122876894199</v>
      </c>
      <c r="H4" s="88">
        <f>'7_ t'' pour version texte'!H22</f>
        <v>0.2912017167381974</v>
      </c>
      <c r="I4" s="88">
        <f>'7_ t'' pour version texte'!I22</f>
        <v>0.2912017167381974</v>
      </c>
      <c r="J4" s="88">
        <f>'7_ t'' pour version texte'!J22</f>
        <v>0.2912017167381974</v>
      </c>
      <c r="K4" s="88">
        <f>'7_ t'' pour version texte'!K22</f>
        <v>0.28339992722084717</v>
      </c>
      <c r="L4" s="88">
        <f>'7_ t'' pour version texte'!L22</f>
        <v>0.25656010067340324</v>
      </c>
      <c r="M4" s="88">
        <f>'7_ t'' pour version texte'!M22</f>
        <v>0.25481813199600606</v>
      </c>
      <c r="N4" s="88">
        <f>'7_ t'' pour version texte'!N22</f>
        <v>0.25248326443324975</v>
      </c>
      <c r="O4" s="88">
        <f>'7_ t'' pour version texte'!O22</f>
        <v>0.2495507248567671</v>
      </c>
      <c r="P4" s="88">
        <f>'7_ t'' pour version texte'!P22</f>
        <v>0.24629273179913777</v>
      </c>
    </row>
    <row r="5" spans="2:16" ht="57" customHeight="1" thickBot="1">
      <c r="B5" s="47" t="s">
        <v>145</v>
      </c>
      <c r="C5" s="87" t="s">
        <v>134</v>
      </c>
      <c r="D5" s="88">
        <f>'7_ t'' pour version texte'!D23</f>
        <v>0.07186090747711647</v>
      </c>
      <c r="E5" s="88">
        <f>'7_ t'' pour version texte'!E23</f>
        <v>0.07154715673235804</v>
      </c>
      <c r="F5" s="88">
        <f>'7_ t'' pour version texte'!F23</f>
        <v>0.07111119580643685</v>
      </c>
      <c r="G5" s="88">
        <f>'7_ t'' pour version texte'!G23</f>
        <v>0.07111119580643685</v>
      </c>
      <c r="H5" s="88">
        <f>'7_ t'' pour version texte'!H23</f>
        <v>0.07106223175965666</v>
      </c>
      <c r="I5" s="88">
        <f>'7_ t'' pour version texte'!I23</f>
        <v>0.07106223175965666</v>
      </c>
      <c r="J5" s="88">
        <f>'7_ t'' pour version texte'!J23</f>
        <v>0.07106223175965666</v>
      </c>
      <c r="K5" s="88">
        <f>'7_ t'' pour version texte'!K23</f>
        <v>0.060911006186227995</v>
      </c>
      <c r="L5" s="88">
        <f>'7_ t'' pour version texte'!L23</f>
        <v>0.06319239144276073</v>
      </c>
      <c r="M5" s="88">
        <f>'7_ t'' pour version texte'!M23</f>
        <v>0.06334045878033949</v>
      </c>
      <c r="N5" s="88">
        <f>'7_ t'' pour version texte'!N23</f>
        <v>0.06353892252317378</v>
      </c>
      <c r="O5" s="88">
        <f>'7_ t'' pour version texte'!O23</f>
        <v>0.0637881883871748</v>
      </c>
      <c r="P5" s="88">
        <f>'7_ t'' pour version texte'!P23</f>
        <v>0.06406511779707329</v>
      </c>
    </row>
    <row r="6" spans="2:16" ht="36" customHeight="1" thickBot="1">
      <c r="B6" s="47" t="s">
        <v>146</v>
      </c>
      <c r="C6" s="87" t="s">
        <v>133</v>
      </c>
      <c r="D6" s="88">
        <f>'7_ t'' pour version texte'!D24</f>
        <v>0.07021090747711647</v>
      </c>
      <c r="E6" s="88">
        <f>'7_ t'' pour version texte'!E24</f>
        <v>0.06989715673235804</v>
      </c>
      <c r="F6" s="88">
        <f>'7_ t'' pour version texte'!F24</f>
        <v>0.06946119580643685</v>
      </c>
      <c r="G6" s="88">
        <f>'7_ t'' pour version texte'!G24</f>
        <v>0.06946119580643685</v>
      </c>
      <c r="H6" s="88">
        <f>'7_ t'' pour version texte'!H24</f>
        <v>0.06946223175965666</v>
      </c>
      <c r="I6" s="88">
        <f>'7_ t'' pour version texte'!I24</f>
        <v>0.06946223175965666</v>
      </c>
      <c r="J6" s="88">
        <f>'7_ t'' pour version texte'!J24</f>
        <v>0.06946223175965666</v>
      </c>
      <c r="K6" s="88">
        <f>'7_ t'' pour version texte'!K24</f>
        <v>0.060911006186227995</v>
      </c>
      <c r="L6" s="88">
        <f>'7_ t'' pour version texte'!L24</f>
        <v>0.06319239144276073</v>
      </c>
      <c r="M6" s="88">
        <f>'7_ t'' pour version texte'!M24</f>
        <v>0.06334045878033949</v>
      </c>
      <c r="N6" s="88">
        <f>'7_ t'' pour version texte'!N24</f>
        <v>0.06353892252317378</v>
      </c>
      <c r="O6" s="88">
        <f>'7_ t'' pour version texte'!O24</f>
        <v>0.0637881883871748</v>
      </c>
      <c r="P6" s="88">
        <f>'7_ t'' pour version texte'!P24</f>
        <v>0.06406511779707329</v>
      </c>
    </row>
    <row r="7" spans="2:16" ht="31.5" customHeight="1" thickBot="1">
      <c r="B7" s="47" t="s">
        <v>147</v>
      </c>
      <c r="C7" s="84" t="s">
        <v>125</v>
      </c>
      <c r="D7" s="88">
        <f>'7_ t'' pour version texte'!D15</f>
        <v>0.00165</v>
      </c>
      <c r="E7" s="88">
        <f>'7_ t'' pour version texte'!E15</f>
        <v>0.00165</v>
      </c>
      <c r="F7" s="88">
        <f>'7_ t'' pour version texte'!F15</f>
        <v>0.00165</v>
      </c>
      <c r="G7" s="88">
        <f>'7_ t'' pour version texte'!G15</f>
        <v>0.00165</v>
      </c>
      <c r="H7" s="88">
        <f>'7_ t'' pour version texte'!H15</f>
        <v>0.0016</v>
      </c>
      <c r="I7" s="88">
        <f>'7_ t'' pour version texte'!I15</f>
        <v>0.0016</v>
      </c>
      <c r="J7" s="88">
        <f>'7_ t'' pour version texte'!J15</f>
        <v>0.0016</v>
      </c>
      <c r="K7" s="88">
        <f>'7_ t'' pour version texte'!K15</f>
        <v>0</v>
      </c>
      <c r="L7" s="88">
        <f>'7_ t'' pour version texte'!L15</f>
        <v>0</v>
      </c>
      <c r="M7" s="88">
        <f>'7_ t'' pour version texte'!M15</f>
        <v>0</v>
      </c>
      <c r="N7" s="88">
        <f>'7_ t'' pour version texte'!N15</f>
        <v>0</v>
      </c>
      <c r="O7" s="88">
        <f>'7_ t'' pour version texte'!O15</f>
        <v>0</v>
      </c>
      <c r="P7" s="88">
        <f>'7_ t'' pour version texte'!P15</f>
        <v>0</v>
      </c>
    </row>
    <row r="8" spans="2:16" ht="55.5" customHeight="1" thickBot="1">
      <c r="B8" s="47" t="s">
        <v>148</v>
      </c>
      <c r="C8" s="87" t="s">
        <v>312</v>
      </c>
      <c r="D8" s="88">
        <f>'7_ t'' pour version texte'!D25</f>
        <v>0.21170126112373586</v>
      </c>
      <c r="E8" s="88">
        <f>'7_ t'' pour version texte'!E25</f>
        <v>0.215216550080315</v>
      </c>
      <c r="F8" s="88">
        <f>'7_ t'' pour version texte'!F25</f>
        <v>0.22010109188298313</v>
      </c>
      <c r="G8" s="88">
        <f>'7_ t'' pour version texte'!G25</f>
        <v>0.22010109188298313</v>
      </c>
      <c r="H8" s="88">
        <f>'7_ t'' pour version texte'!H25</f>
        <v>0.22013948497854077</v>
      </c>
      <c r="I8" s="88">
        <f>'7_ t'' pour version texte'!I25</f>
        <v>0.22013948497854077</v>
      </c>
      <c r="J8" s="88">
        <f>'7_ t'' pour version texte'!J25</f>
        <v>0.22013948497854077</v>
      </c>
      <c r="K8" s="88">
        <f>'7_ t'' pour version texte'!K25</f>
        <v>0.22248892103461915</v>
      </c>
      <c r="L8" s="88">
        <f>'7_ t'' pour version texte'!L25</f>
        <v>0.19336770923064245</v>
      </c>
      <c r="M8" s="88">
        <f>'7_ t'' pour version texte'!M25</f>
        <v>0.19147767321566656</v>
      </c>
      <c r="N8" s="88">
        <f>'7_ t'' pour version texte'!N25</f>
        <v>0.18894434191007597</v>
      </c>
      <c r="O8" s="88">
        <f>'7_ t'' pour version texte'!O25</f>
        <v>0.1857625364695923</v>
      </c>
      <c r="P8" s="88">
        <f>'7_ t'' pour version texte'!P25</f>
        <v>0.18222761400206447</v>
      </c>
    </row>
    <row r="9" spans="2:16" ht="26.25" thickBot="1">
      <c r="B9" s="47" t="s">
        <v>149</v>
      </c>
      <c r="C9" s="87" t="s">
        <v>40</v>
      </c>
      <c r="D9" s="88">
        <f>'7_ t'' pour version texte'!D26</f>
        <v>0.20456306112373585</v>
      </c>
      <c r="E9" s="88">
        <f>'7_ t'' pour version texte'!E26</f>
        <v>0.20792835008031502</v>
      </c>
      <c r="F9" s="88">
        <f>'7_ t'' pour version texte'!F26</f>
        <v>0.21260229188298313</v>
      </c>
      <c r="G9" s="88">
        <f>'7_ t'' pour version texte'!G26</f>
        <v>0.21260229188298313</v>
      </c>
      <c r="H9" s="88">
        <f>'7_ t'' pour version texte'!H26</f>
        <v>0.21263948497854077</v>
      </c>
      <c r="I9" s="88">
        <f>'7_ t'' pour version texte'!I26</f>
        <v>0.21263948497854077</v>
      </c>
      <c r="J9" s="88">
        <f>'7_ t'' pour version texte'!J26</f>
        <v>0.21263948497854077</v>
      </c>
      <c r="K9" s="88">
        <f>'7_ t'' pour version texte'!K26</f>
        <v>0.21498862103461916</v>
      </c>
      <c r="L9" s="88">
        <f>'7_ t'' pour version texte'!L26</f>
        <v>0.18586740923064246</v>
      </c>
      <c r="M9" s="88">
        <f>'7_ t'' pour version texte'!M26</f>
        <v>0.18406737321566655</v>
      </c>
      <c r="N9" s="88">
        <f>'7_ t'' pour version texte'!N26</f>
        <v>0.18165404191007598</v>
      </c>
      <c r="O9" s="88">
        <f>'7_ t'' pour version texte'!O26</f>
        <v>0.1786219364695923</v>
      </c>
      <c r="P9" s="88">
        <f>'7_ t'' pour version texte'!P26</f>
        <v>0.17525201400206447</v>
      </c>
    </row>
    <row r="10" spans="2:16" ht="36" customHeight="1" thickBot="1">
      <c r="B10" s="47" t="s">
        <v>150</v>
      </c>
      <c r="C10" s="84" t="s">
        <v>126</v>
      </c>
      <c r="D10" s="88">
        <f>'7_ t'' pour version texte'!D18</f>
        <v>0.0071382</v>
      </c>
      <c r="E10" s="88">
        <f>'7_ t'' pour version texte'!E18</f>
        <v>0.007288200000000001</v>
      </c>
      <c r="F10" s="88">
        <f>'7_ t'' pour version texte'!F18</f>
        <v>0.0074988</v>
      </c>
      <c r="G10" s="88">
        <f>'7_ t'' pour version texte'!G18</f>
        <v>0.0074988</v>
      </c>
      <c r="H10" s="88">
        <f>'7_ t'' pour version texte'!H18</f>
        <v>0.0075</v>
      </c>
      <c r="I10" s="88">
        <f>'7_ t'' pour version texte'!I18</f>
        <v>0.0075</v>
      </c>
      <c r="J10" s="88">
        <f>'7_ t'' pour version texte'!J18</f>
        <v>0.0075</v>
      </c>
      <c r="K10" s="88">
        <f>'7_ t'' pour version texte'!K18</f>
        <v>0.0075003</v>
      </c>
      <c r="L10" s="88">
        <f>'7_ t'' pour version texte'!L18</f>
        <v>0.0075003</v>
      </c>
      <c r="M10" s="88">
        <f>'7_ t'' pour version texte'!M18</f>
        <v>0.0074103</v>
      </c>
      <c r="N10" s="88">
        <f>'7_ t'' pour version texte'!N18</f>
        <v>0.0072902999999999996</v>
      </c>
      <c r="O10" s="88">
        <f>'7_ t'' pour version texte'!O18</f>
        <v>0.0071405999999999996</v>
      </c>
      <c r="P10" s="88">
        <f>'7_ t'' pour version texte'!P18</f>
        <v>0.006975599999999999</v>
      </c>
    </row>
    <row r="11" spans="2:16" ht="35.25" customHeight="1" thickBot="1">
      <c r="B11" s="47" t="s">
        <v>151</v>
      </c>
      <c r="C11" s="87" t="s">
        <v>41</v>
      </c>
      <c r="D11" s="88">
        <f>D6+D9</f>
        <v>0.27477396860085235</v>
      </c>
      <c r="E11" s="88">
        <f aca="true" t="shared" si="0" ref="E11:K11">E6+E9</f>
        <v>0.27782550681267304</v>
      </c>
      <c r="F11" s="88">
        <f t="shared" si="0"/>
        <v>0.28206348768941997</v>
      </c>
      <c r="G11" s="88">
        <f t="shared" si="0"/>
        <v>0.28206348768941997</v>
      </c>
      <c r="H11" s="88">
        <f t="shared" si="0"/>
        <v>0.2821017167381974</v>
      </c>
      <c r="I11" s="88">
        <f t="shared" si="0"/>
        <v>0.2821017167381974</v>
      </c>
      <c r="J11" s="88">
        <f t="shared" si="0"/>
        <v>0.2821017167381974</v>
      </c>
      <c r="K11" s="88">
        <f t="shared" si="0"/>
        <v>0.27589962722084715</v>
      </c>
      <c r="L11" s="88">
        <f aca="true" t="shared" si="1" ref="L11:P12">L6+L9</f>
        <v>0.2490598006734032</v>
      </c>
      <c r="M11" s="88">
        <f t="shared" si="1"/>
        <v>0.24740783199600602</v>
      </c>
      <c r="N11" s="88">
        <f t="shared" si="1"/>
        <v>0.24519296443324975</v>
      </c>
      <c r="O11" s="88">
        <f t="shared" si="1"/>
        <v>0.2424101248567671</v>
      </c>
      <c r="P11" s="88">
        <f t="shared" si="1"/>
        <v>0.23931713179913777</v>
      </c>
    </row>
    <row r="12" spans="2:16" ht="33" customHeight="1" thickBot="1">
      <c r="B12" s="47" t="s">
        <v>152</v>
      </c>
      <c r="C12" s="87" t="s">
        <v>100</v>
      </c>
      <c r="D12" s="88">
        <f>D7+D10</f>
        <v>0.0087882</v>
      </c>
      <c r="E12" s="88">
        <f aca="true" t="shared" si="2" ref="E12:K12">E7+E10</f>
        <v>0.0089382</v>
      </c>
      <c r="F12" s="88">
        <f t="shared" si="2"/>
        <v>0.0091488</v>
      </c>
      <c r="G12" s="88">
        <f t="shared" si="2"/>
        <v>0.0091488</v>
      </c>
      <c r="H12" s="88">
        <f t="shared" si="2"/>
        <v>0.0091</v>
      </c>
      <c r="I12" s="88">
        <f t="shared" si="2"/>
        <v>0.0091</v>
      </c>
      <c r="J12" s="88">
        <f t="shared" si="2"/>
        <v>0.0091</v>
      </c>
      <c r="K12" s="88">
        <f t="shared" si="2"/>
        <v>0.0075003</v>
      </c>
      <c r="L12" s="88">
        <f t="shared" si="1"/>
        <v>0.0075003</v>
      </c>
      <c r="M12" s="88">
        <f t="shared" si="1"/>
        <v>0.0074103</v>
      </c>
      <c r="N12" s="88">
        <f t="shared" si="1"/>
        <v>0.0072902999999999996</v>
      </c>
      <c r="O12" s="88">
        <f t="shared" si="1"/>
        <v>0.0071405999999999996</v>
      </c>
      <c r="P12" s="88">
        <f t="shared" si="1"/>
        <v>0.006975599999999999</v>
      </c>
    </row>
    <row r="13" spans="2:16" ht="7.5" customHeight="1" thickBot="1">
      <c r="B13" s="61"/>
      <c r="C13" s="71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2:16" ht="18" thickBot="1">
      <c r="B14" s="183" t="s">
        <v>448</v>
      </c>
      <c r="C14" s="184" t="s">
        <v>449</v>
      </c>
      <c r="D14" s="5">
        <f>D11+D12</f>
        <v>0.28356216860085237</v>
      </c>
      <c r="E14" s="5">
        <f>E11+E12</f>
        <v>0.28676370681267305</v>
      </c>
      <c r="F14" s="5">
        <f aca="true" t="shared" si="3" ref="F14:P14">F11+F12</f>
        <v>0.29121228768942</v>
      </c>
      <c r="G14" s="5">
        <f t="shared" si="3"/>
        <v>0.29121228768942</v>
      </c>
      <c r="H14" s="5">
        <f t="shared" si="3"/>
        <v>0.2912017167381974</v>
      </c>
      <c r="I14" s="5">
        <f t="shared" si="3"/>
        <v>0.2912017167381974</v>
      </c>
      <c r="J14" s="5">
        <f t="shared" si="3"/>
        <v>0.2912017167381974</v>
      </c>
      <c r="K14" s="5">
        <f t="shared" si="3"/>
        <v>0.28339992722084717</v>
      </c>
      <c r="L14" s="5">
        <f t="shared" si="3"/>
        <v>0.2565601006734032</v>
      </c>
      <c r="M14" s="5">
        <f t="shared" si="3"/>
        <v>0.254818131996006</v>
      </c>
      <c r="N14" s="5">
        <f t="shared" si="3"/>
        <v>0.25248326443324975</v>
      </c>
      <c r="O14" s="5">
        <f t="shared" si="3"/>
        <v>0.2495507248567671</v>
      </c>
      <c r="P14" s="5">
        <f t="shared" si="3"/>
        <v>0.24629273179913777</v>
      </c>
    </row>
    <row r="15" spans="2:16" ht="26.25" thickBot="1">
      <c r="B15" s="183" t="s">
        <v>450</v>
      </c>
      <c r="C15" s="185" t="s">
        <v>451</v>
      </c>
      <c r="D15" s="5">
        <f>'3_Synthèse calcul taux_et cfis'!E25</f>
        <v>0.2835621686008523</v>
      </c>
      <c r="E15" s="5">
        <f>'3_Synthèse calcul taux_et cfis'!F25</f>
        <v>0.2867637068126731</v>
      </c>
      <c r="F15" s="5">
        <f>'3_Synthèse calcul taux_et cfis'!G25</f>
        <v>0.2912122876894199</v>
      </c>
      <c r="G15" s="5">
        <f>'3_Synthèse calcul taux_et cfis'!H25</f>
        <v>0.2912122876894199</v>
      </c>
      <c r="H15" s="5">
        <f>'3_Synthèse calcul taux_et cfis'!I25</f>
        <v>0.2912017167381974</v>
      </c>
      <c r="I15" s="5">
        <f>'3_Synthèse calcul taux_et cfis'!J25</f>
        <v>0.2912017167381974</v>
      </c>
      <c r="J15" s="5">
        <f>'3_Synthèse calcul taux_et cfis'!K25</f>
        <v>0.2912017167381974</v>
      </c>
      <c r="K15" s="5">
        <f>'3_Synthèse calcul taux_et cfis'!L25</f>
        <v>0.28339992722084717</v>
      </c>
      <c r="L15" s="5">
        <f>'3_Synthèse calcul taux_et cfis'!M25</f>
        <v>0.25656010067340324</v>
      </c>
      <c r="M15" s="5">
        <f>'3_Synthèse calcul taux_et cfis'!N25</f>
        <v>0.25481813199600606</v>
      </c>
      <c r="N15" s="5">
        <f>'3_Synthèse calcul taux_et cfis'!O25</f>
        <v>0.2524832644332498</v>
      </c>
      <c r="O15" s="5">
        <f>'3_Synthèse calcul taux_et cfis'!P25</f>
        <v>0.24955072485676708</v>
      </c>
      <c r="P15" s="5">
        <f>'3_Synthèse calcul taux_et cfis'!Q25</f>
        <v>0.24629273179913777</v>
      </c>
    </row>
    <row r="16" spans="2:16" ht="18" thickBot="1">
      <c r="B16" s="186" t="s">
        <v>452</v>
      </c>
      <c r="C16" s="185" t="s">
        <v>454</v>
      </c>
      <c r="D16" s="5">
        <f>'3_Synthèse calcul taux_et cfis'!E26</f>
        <v>0.283556</v>
      </c>
      <c r="E16" s="5">
        <f>'3_Synthèse calcul taux_et cfis'!F26</f>
        <v>0.28675</v>
      </c>
      <c r="F16" s="5">
        <f>'3_Synthèse calcul taux_et cfis'!G26</f>
        <v>0.291217</v>
      </c>
      <c r="G16" s="5">
        <f>'3_Synthèse calcul taux_et cfis'!H26</f>
        <v>0.291217</v>
      </c>
      <c r="H16" s="5">
        <f>'3_Synthèse calcul taux_et cfis'!I26</f>
        <v>0.291202</v>
      </c>
      <c r="I16" s="5">
        <f>'3_Synthèse calcul taux_et cfis'!J26</f>
        <v>0.291202</v>
      </c>
      <c r="J16" s="5">
        <f>'3_Synthèse calcul taux_et cfis'!K26</f>
        <v>0.291211</v>
      </c>
      <c r="K16" s="5">
        <f>'3_Synthèse calcul taux_et cfis'!L26</f>
        <v>0.2834</v>
      </c>
      <c r="L16" s="5">
        <f>'3_Synthèse calcul taux_et cfis'!M26</f>
        <v>0.256547</v>
      </c>
      <c r="M16" s="5">
        <f>'3_Synthèse calcul taux_et cfis'!N26</f>
        <v>0.254824</v>
      </c>
      <c r="N16" s="5">
        <f>'3_Synthèse calcul taux_et cfis'!O26</f>
        <v>0.252477</v>
      </c>
      <c r="O16" s="5">
        <f>'3_Synthèse calcul taux_et cfis'!P26</f>
        <v>0.249535</v>
      </c>
      <c r="P16" s="5">
        <f>'3_Synthèse calcul taux_et cfis'!Q26</f>
        <v>0.24629</v>
      </c>
    </row>
    <row r="17" spans="2:16" ht="18" thickBot="1">
      <c r="B17" s="183" t="s">
        <v>456</v>
      </c>
      <c r="C17" s="189" t="s">
        <v>457</v>
      </c>
      <c r="D17" s="5">
        <f>D14-D15</f>
        <v>0</v>
      </c>
      <c r="E17" s="5">
        <f>E14-E15</f>
        <v>0</v>
      </c>
      <c r="F17" s="5">
        <f aca="true" t="shared" si="4" ref="F17:P17">F14-F15</f>
        <v>0</v>
      </c>
      <c r="G17" s="5">
        <f t="shared" si="4"/>
        <v>0</v>
      </c>
      <c r="H17" s="5">
        <f t="shared" si="4"/>
        <v>0</v>
      </c>
      <c r="I17" s="5">
        <f t="shared" si="4"/>
        <v>0</v>
      </c>
      <c r="J17" s="5">
        <f t="shared" si="4"/>
        <v>0</v>
      </c>
      <c r="K17" s="5">
        <f t="shared" si="4"/>
        <v>0</v>
      </c>
      <c r="L17" s="5">
        <f t="shared" si="4"/>
        <v>0</v>
      </c>
      <c r="M17" s="5">
        <f t="shared" si="4"/>
        <v>0</v>
      </c>
      <c r="N17" s="5">
        <f t="shared" si="4"/>
        <v>0</v>
      </c>
      <c r="O17" s="5">
        <f t="shared" si="4"/>
        <v>0</v>
      </c>
      <c r="P17" s="5">
        <f t="shared" si="4"/>
        <v>0</v>
      </c>
    </row>
  </sheetData>
  <mergeCells count="1">
    <mergeCell ref="B3:C3"/>
  </mergeCells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J1">
      <selection activeCell="Q1" sqref="Q1:Q16384"/>
    </sheetView>
  </sheetViews>
  <sheetFormatPr defaultColWidth="12" defaultRowHeight="11.25"/>
  <cols>
    <col min="2" max="2" width="59.83203125" style="0" customWidth="1"/>
    <col min="3" max="3" width="49" style="0" customWidth="1"/>
    <col min="4" max="4" width="18.33203125" style="0" customWidth="1"/>
    <col min="5" max="5" width="17.66015625" style="0" customWidth="1"/>
    <col min="6" max="6" width="19.16015625" style="0" customWidth="1"/>
    <col min="7" max="7" width="20.5" style="0" customWidth="1"/>
    <col min="8" max="8" width="20.33203125" style="0" customWidth="1"/>
    <col min="9" max="9" width="17.66015625" style="0" customWidth="1"/>
    <col min="10" max="10" width="18.66015625" style="0" customWidth="1"/>
    <col min="11" max="11" width="16.66015625" style="0" customWidth="1"/>
    <col min="12" max="12" width="21.66015625" style="0" customWidth="1"/>
    <col min="13" max="13" width="18" style="0" customWidth="1"/>
    <col min="14" max="14" width="13" style="0" customWidth="1"/>
    <col min="15" max="15" width="16.66015625" style="0" customWidth="1"/>
  </cols>
  <sheetData>
    <row r="1" ht="11.25">
      <c r="A1" s="142" t="s">
        <v>322</v>
      </c>
    </row>
    <row r="3" ht="1.5" customHeight="1" thickBot="1"/>
    <row r="4" spans="2:16" ht="42.75" customHeight="1" thickBot="1">
      <c r="B4" s="6" t="s">
        <v>311</v>
      </c>
      <c r="C4" s="116" t="s">
        <v>172</v>
      </c>
      <c r="D4" s="101">
        <v>1991</v>
      </c>
      <c r="E4" s="101">
        <f>D4+1</f>
        <v>1992</v>
      </c>
      <c r="F4" s="101">
        <f aca="true" t="shared" si="0" ref="F4:M4">E4+1</f>
        <v>1993</v>
      </c>
      <c r="G4" s="101">
        <f t="shared" si="0"/>
        <v>1994</v>
      </c>
      <c r="H4" s="101">
        <f t="shared" si="0"/>
        <v>1995</v>
      </c>
      <c r="I4" s="101">
        <f t="shared" si="0"/>
        <v>1996</v>
      </c>
      <c r="J4" s="101">
        <f t="shared" si="0"/>
        <v>1997</v>
      </c>
      <c r="K4" s="101">
        <f t="shared" si="0"/>
        <v>1998</v>
      </c>
      <c r="L4" s="101">
        <f t="shared" si="0"/>
        <v>1999</v>
      </c>
      <c r="M4" s="101">
        <f t="shared" si="0"/>
        <v>2000</v>
      </c>
      <c r="N4" s="101">
        <f>M4+1</f>
        <v>2001</v>
      </c>
      <c r="O4" s="101">
        <f>N4+1</f>
        <v>2002</v>
      </c>
      <c r="P4" s="101">
        <f>O4+1</f>
        <v>2003</v>
      </c>
    </row>
    <row r="5" spans="2:16" ht="16.5" thickBot="1">
      <c r="B5" s="50" t="s">
        <v>180</v>
      </c>
      <c r="C5" s="72" t="s">
        <v>29</v>
      </c>
      <c r="D5" s="63">
        <v>1000000</v>
      </c>
      <c r="E5" s="63">
        <v>1000000</v>
      </c>
      <c r="F5" s="63">
        <v>1000000</v>
      </c>
      <c r="G5" s="63">
        <v>1000000</v>
      </c>
      <c r="H5" s="63">
        <v>1000000</v>
      </c>
      <c r="I5" s="63">
        <v>1000000</v>
      </c>
      <c r="J5" s="63">
        <v>1000000</v>
      </c>
      <c r="K5" s="63">
        <v>1000000</v>
      </c>
      <c r="L5" s="63">
        <v>1000000</v>
      </c>
      <c r="M5" s="63">
        <v>1000000</v>
      </c>
      <c r="N5" s="63">
        <v>1000000</v>
      </c>
      <c r="O5" s="63">
        <v>1000000</v>
      </c>
      <c r="P5" s="63">
        <v>1000000</v>
      </c>
    </row>
    <row r="6" spans="2:16" ht="16.5" thickBot="1">
      <c r="B6" s="50" t="s">
        <v>181</v>
      </c>
      <c r="C6" s="72" t="s">
        <v>30</v>
      </c>
      <c r="D6" s="63">
        <v>2000000</v>
      </c>
      <c r="E6" s="63">
        <v>2000000</v>
      </c>
      <c r="F6" s="63">
        <v>2000000</v>
      </c>
      <c r="G6" s="63">
        <v>2000000</v>
      </c>
      <c r="H6" s="63">
        <v>2000000</v>
      </c>
      <c r="I6" s="63">
        <v>2000000</v>
      </c>
      <c r="J6" s="63">
        <v>2000000</v>
      </c>
      <c r="K6" s="63">
        <v>2000000</v>
      </c>
      <c r="L6" s="63">
        <v>2000000</v>
      </c>
      <c r="M6" s="63">
        <v>2000000</v>
      </c>
      <c r="N6" s="63">
        <v>2000000</v>
      </c>
      <c r="O6" s="63">
        <v>2000000</v>
      </c>
      <c r="P6" s="63">
        <v>2000000</v>
      </c>
    </row>
    <row r="7" spans="2:16" ht="16.5" thickBot="1">
      <c r="B7" s="73" t="s">
        <v>60</v>
      </c>
      <c r="C7" s="74" t="s">
        <v>61</v>
      </c>
      <c r="D7" s="64">
        <f aca="true" t="shared" si="1" ref="D7:P7">D5/D6</f>
        <v>0.5</v>
      </c>
      <c r="E7" s="64">
        <f t="shared" si="1"/>
        <v>0.5</v>
      </c>
      <c r="F7" s="64">
        <f t="shared" si="1"/>
        <v>0.5</v>
      </c>
      <c r="G7" s="64">
        <f t="shared" si="1"/>
        <v>0.5</v>
      </c>
      <c r="H7" s="64">
        <f t="shared" si="1"/>
        <v>0.5</v>
      </c>
      <c r="I7" s="64">
        <f t="shared" si="1"/>
        <v>0.5</v>
      </c>
      <c r="J7" s="64">
        <f t="shared" si="1"/>
        <v>0.5</v>
      </c>
      <c r="K7" s="64">
        <f t="shared" si="1"/>
        <v>0.5</v>
      </c>
      <c r="L7" s="64">
        <f t="shared" si="1"/>
        <v>0.5</v>
      </c>
      <c r="M7" s="64">
        <f t="shared" si="1"/>
        <v>0.5</v>
      </c>
      <c r="N7" s="64">
        <f t="shared" si="1"/>
        <v>0.5</v>
      </c>
      <c r="O7" s="64">
        <f t="shared" si="1"/>
        <v>0.5</v>
      </c>
      <c r="P7" s="64">
        <f t="shared" si="1"/>
        <v>0.5</v>
      </c>
    </row>
    <row r="8" spans="2:16" ht="16.5" thickBot="1">
      <c r="B8" s="73" t="s">
        <v>62</v>
      </c>
      <c r="C8" s="74" t="s">
        <v>63</v>
      </c>
      <c r="D8" s="65">
        <f aca="true" t="shared" si="2" ref="D8:P8">1/D7</f>
        <v>2</v>
      </c>
      <c r="E8" s="65">
        <f t="shared" si="2"/>
        <v>2</v>
      </c>
      <c r="F8" s="65">
        <f t="shared" si="2"/>
        <v>2</v>
      </c>
      <c r="G8" s="65">
        <f t="shared" si="2"/>
        <v>2</v>
      </c>
      <c r="H8" s="65">
        <f t="shared" si="2"/>
        <v>2</v>
      </c>
      <c r="I8" s="65">
        <f t="shared" si="2"/>
        <v>2</v>
      </c>
      <c r="J8" s="65">
        <f t="shared" si="2"/>
        <v>2</v>
      </c>
      <c r="K8" s="65">
        <f t="shared" si="2"/>
        <v>2</v>
      </c>
      <c r="L8" s="65">
        <f t="shared" si="2"/>
        <v>2</v>
      </c>
      <c r="M8" s="65">
        <f t="shared" si="2"/>
        <v>2</v>
      </c>
      <c r="N8" s="65">
        <f t="shared" si="2"/>
        <v>2</v>
      </c>
      <c r="O8" s="65">
        <f t="shared" si="2"/>
        <v>2</v>
      </c>
      <c r="P8" s="65">
        <f t="shared" si="2"/>
        <v>2</v>
      </c>
    </row>
    <row r="9" spans="2:16" ht="18" thickBot="1">
      <c r="B9" s="47" t="s">
        <v>122</v>
      </c>
      <c r="C9" s="75" t="s">
        <v>111</v>
      </c>
      <c r="D9" s="3">
        <f>'11_tc_Taux nominal bénéfice'!D7</f>
        <v>0.098</v>
      </c>
      <c r="E9" s="3">
        <f>'11_tc_Taux nominal bénéfice'!E7</f>
        <v>0.098</v>
      </c>
      <c r="F9" s="3">
        <f>'11_tc_Taux nominal bénéfice'!F7</f>
        <v>0.098</v>
      </c>
      <c r="G9" s="3">
        <f>'11_tc_Taux nominal bénéfice'!G7</f>
        <v>0.098</v>
      </c>
      <c r="H9" s="3">
        <f>'11_tc_Taux nominal bénéfice'!H7</f>
        <v>0.098</v>
      </c>
      <c r="I9" s="3">
        <f>'11_tc_Taux nominal bénéfice'!I7</f>
        <v>0.098</v>
      </c>
      <c r="J9" s="3">
        <f>'11_tc_Taux nominal bénéfice'!J7</f>
        <v>0.098</v>
      </c>
      <c r="K9" s="3">
        <f>'11_tc_Taux nominal bénéfice'!K7</f>
        <v>0.085</v>
      </c>
      <c r="L9" s="3">
        <f>'11_tc_Taux nominal bénéfice'!L7</f>
        <v>0.085</v>
      </c>
      <c r="M9" s="3">
        <f>'11_tc_Taux nominal bénéfice'!M7</f>
        <v>0.085</v>
      </c>
      <c r="N9" s="3">
        <f>'11_tc_Taux nominal bénéfice'!N7</f>
        <v>0.085</v>
      </c>
      <c r="O9" s="3">
        <f>'11_tc_Taux nominal bénéfice'!O7</f>
        <v>0.085</v>
      </c>
      <c r="P9" s="3">
        <f>'11_tc_Taux nominal bénéfice'!P7</f>
        <v>0.085</v>
      </c>
    </row>
    <row r="10" spans="2:16" ht="18" thickBot="1">
      <c r="B10" s="47" t="s">
        <v>80</v>
      </c>
      <c r="C10" s="75" t="s">
        <v>112</v>
      </c>
      <c r="D10" s="3">
        <f>'14_ Données taux bénéfice'!D5</f>
        <v>0.12</v>
      </c>
      <c r="E10" s="3">
        <f>'14_ Données taux bénéfice'!E5</f>
        <v>0.12</v>
      </c>
      <c r="F10" s="3">
        <f>'14_ Données taux bénéfice'!F5</f>
        <v>0.12</v>
      </c>
      <c r="G10" s="3">
        <f>'14_ Données taux bénéfice'!G5</f>
        <v>0.12</v>
      </c>
      <c r="H10" s="3">
        <f>'14_ Données taux bénéfice'!H5</f>
        <v>0.12</v>
      </c>
      <c r="I10" s="3">
        <f>'14_ Données taux bénéfice'!I5</f>
        <v>0.12</v>
      </c>
      <c r="J10" s="3">
        <f>'14_ Données taux bénéfice'!J5</f>
        <v>0.12</v>
      </c>
      <c r="K10" s="3">
        <f>'14_ Données taux bénéfice'!K5</f>
        <v>0.12</v>
      </c>
      <c r="L10" s="3">
        <f>'14_ Données taux bénéfice'!L5</f>
        <v>0.1</v>
      </c>
      <c r="M10" s="3">
        <f>'14_ Données taux bénéfice'!M5</f>
        <v>0.1</v>
      </c>
      <c r="N10" s="3">
        <f>'14_ Données taux bénéfice'!N5</f>
        <v>0.1</v>
      </c>
      <c r="O10" s="3">
        <f>'14_ Données taux bénéfice'!O5</f>
        <v>0.1</v>
      </c>
      <c r="P10" s="3">
        <f>'14_ Données taux bénéfice'!P5</f>
        <v>0.1</v>
      </c>
    </row>
    <row r="11" spans="2:16" ht="27.75" customHeight="1" thickBot="1">
      <c r="B11" s="47" t="s">
        <v>81</v>
      </c>
      <c r="C11" s="75" t="s">
        <v>166</v>
      </c>
      <c r="D11" s="8">
        <f>'13_Multiplicateurs '!D7</f>
        <v>2.3794</v>
      </c>
      <c r="E11" s="8">
        <f>'13_Multiplicateurs '!E7</f>
        <v>2.4294000000000002</v>
      </c>
      <c r="F11" s="8">
        <f>'13_Multiplicateurs '!F7</f>
        <v>2.4996</v>
      </c>
      <c r="G11" s="8">
        <f>'13_Multiplicateurs '!G7</f>
        <v>2.4996</v>
      </c>
      <c r="H11" s="8">
        <f>'13_Multiplicateurs '!H7</f>
        <v>2.5</v>
      </c>
      <c r="I11" s="8">
        <f>'13_Multiplicateurs '!I7</f>
        <v>2.5</v>
      </c>
      <c r="J11" s="8">
        <f>'13_Multiplicateurs '!J7</f>
        <v>2.5</v>
      </c>
      <c r="K11" s="8">
        <f>'13_Multiplicateurs '!K7</f>
        <v>2.5000999999999998</v>
      </c>
      <c r="L11" s="8">
        <f>'13_Multiplicateurs '!L7</f>
        <v>2.5000999999999998</v>
      </c>
      <c r="M11" s="8">
        <f>'13_Multiplicateurs '!M7</f>
        <v>2.4701</v>
      </c>
      <c r="N11" s="8">
        <f>'13_Multiplicateurs '!N7</f>
        <v>2.4301</v>
      </c>
      <c r="O11" s="8">
        <f>'13_Multiplicateurs '!O7</f>
        <v>2.3802</v>
      </c>
      <c r="P11" s="8">
        <f>'13_Multiplicateurs '!P7</f>
        <v>2.3251999999999997</v>
      </c>
    </row>
    <row r="12" spans="2:16" ht="32.25" customHeight="1" thickBot="1">
      <c r="B12" s="47" t="s">
        <v>82</v>
      </c>
      <c r="C12" s="75" t="s">
        <v>113</v>
      </c>
      <c r="D12" s="5">
        <f>D10*D11</f>
        <v>0.285528</v>
      </c>
      <c r="E12" s="5">
        <f aca="true" t="shared" si="3" ref="E12:P12">E10*E11</f>
        <v>0.291528</v>
      </c>
      <c r="F12" s="5">
        <f t="shared" si="3"/>
        <v>0.299952</v>
      </c>
      <c r="G12" s="5">
        <f t="shared" si="3"/>
        <v>0.299952</v>
      </c>
      <c r="H12" s="5">
        <f t="shared" si="3"/>
        <v>0.3</v>
      </c>
      <c r="I12" s="5">
        <f t="shared" si="3"/>
        <v>0.3</v>
      </c>
      <c r="J12" s="5">
        <f t="shared" si="3"/>
        <v>0.3</v>
      </c>
      <c r="K12" s="5">
        <f t="shared" si="3"/>
        <v>0.30001199999999995</v>
      </c>
      <c r="L12" s="5">
        <f t="shared" si="3"/>
        <v>0.25001</v>
      </c>
      <c r="M12" s="5">
        <f t="shared" si="3"/>
        <v>0.24701</v>
      </c>
      <c r="N12" s="5">
        <f t="shared" si="3"/>
        <v>0.24301</v>
      </c>
      <c r="O12" s="5">
        <f t="shared" si="3"/>
        <v>0.23802</v>
      </c>
      <c r="P12" s="5">
        <f t="shared" si="3"/>
        <v>0.23251999999999998</v>
      </c>
    </row>
    <row r="13" spans="2:16" ht="32.25" customHeight="1" thickBot="1">
      <c r="B13" s="61" t="s">
        <v>83</v>
      </c>
      <c r="C13" s="76" t="s">
        <v>114</v>
      </c>
      <c r="D13" s="68">
        <f>D9+D12</f>
        <v>0.383528</v>
      </c>
      <c r="E13" s="68">
        <f aca="true" t="shared" si="4" ref="E13:P13">E9+E12</f>
        <v>0.389528</v>
      </c>
      <c r="F13" s="68">
        <f t="shared" si="4"/>
        <v>0.397952</v>
      </c>
      <c r="G13" s="68">
        <f t="shared" si="4"/>
        <v>0.397952</v>
      </c>
      <c r="H13" s="68">
        <f t="shared" si="4"/>
        <v>0.398</v>
      </c>
      <c r="I13" s="68">
        <f t="shared" si="4"/>
        <v>0.398</v>
      </c>
      <c r="J13" s="68">
        <f t="shared" si="4"/>
        <v>0.398</v>
      </c>
      <c r="K13" s="68">
        <f t="shared" si="4"/>
        <v>0.38501199999999997</v>
      </c>
      <c r="L13" s="68">
        <f t="shared" si="4"/>
        <v>0.33501000000000003</v>
      </c>
      <c r="M13" s="68">
        <f t="shared" si="4"/>
        <v>0.33201</v>
      </c>
      <c r="N13" s="68">
        <f t="shared" si="4"/>
        <v>0.32801</v>
      </c>
      <c r="O13" s="68">
        <f t="shared" si="4"/>
        <v>0.32302000000000003</v>
      </c>
      <c r="P13" s="68">
        <f t="shared" si="4"/>
        <v>0.31751999999999997</v>
      </c>
    </row>
    <row r="14" spans="2:16" ht="27.75" customHeight="1" thickBot="1">
      <c r="B14" s="12" t="s">
        <v>128</v>
      </c>
      <c r="C14" s="67" t="s">
        <v>127</v>
      </c>
      <c r="D14" s="13">
        <f>'15_Données taux capital'!D4</f>
        <v>0.000825</v>
      </c>
      <c r="E14" s="13">
        <f>'15_Données taux capital'!E4</f>
        <v>0.000825</v>
      </c>
      <c r="F14" s="13">
        <f>'15_Données taux capital'!F4</f>
        <v>0.000825</v>
      </c>
      <c r="G14" s="13">
        <f>'15_Données taux capital'!G4</f>
        <v>0.000825</v>
      </c>
      <c r="H14" s="13">
        <f>'15_Données taux capital'!H4</f>
        <v>0.0008</v>
      </c>
      <c r="I14" s="13">
        <f>'15_Données taux capital'!I4</f>
        <v>0.0008</v>
      </c>
      <c r="J14" s="13">
        <f>'15_Données taux capital'!J4</f>
        <v>0.0008</v>
      </c>
      <c r="K14" s="13">
        <f>'15_Données taux capital'!K4</f>
        <v>0</v>
      </c>
      <c r="L14" s="13">
        <f>'15_Données taux capital'!L4</f>
        <v>0</v>
      </c>
      <c r="M14" s="13">
        <f>'15_Données taux capital'!M4</f>
        <v>0</v>
      </c>
      <c r="N14" s="13">
        <f>'15_Données taux capital'!N4</f>
        <v>0</v>
      </c>
      <c r="O14" s="13">
        <f>'15_Données taux capital'!O4</f>
        <v>0</v>
      </c>
      <c r="P14" s="13">
        <f>'15_Données taux capital'!P4</f>
        <v>0</v>
      </c>
    </row>
    <row r="15" spans="2:16" ht="34.5" customHeight="1" thickBot="1">
      <c r="B15" s="14" t="s">
        <v>7</v>
      </c>
      <c r="C15" s="67" t="s">
        <v>121</v>
      </c>
      <c r="D15" s="13">
        <f>D14*D8</f>
        <v>0.00165</v>
      </c>
      <c r="E15" s="13">
        <f aca="true" t="shared" si="5" ref="E15:P15">E14*E8</f>
        <v>0.00165</v>
      </c>
      <c r="F15" s="13">
        <f t="shared" si="5"/>
        <v>0.00165</v>
      </c>
      <c r="G15" s="13">
        <f t="shared" si="5"/>
        <v>0.00165</v>
      </c>
      <c r="H15" s="13">
        <f t="shared" si="5"/>
        <v>0.0016</v>
      </c>
      <c r="I15" s="13">
        <f t="shared" si="5"/>
        <v>0.0016</v>
      </c>
      <c r="J15" s="13">
        <f t="shared" si="5"/>
        <v>0.0016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5"/>
        <v>0</v>
      </c>
    </row>
    <row r="16" spans="2:16" ht="30.75" customHeight="1" thickBot="1">
      <c r="B16" s="12" t="s">
        <v>129</v>
      </c>
      <c r="C16" s="77" t="s">
        <v>130</v>
      </c>
      <c r="D16" s="13">
        <f>'15_Données taux capital'!D5</f>
        <v>0.0015</v>
      </c>
      <c r="E16" s="13">
        <f>'15_Données taux capital'!E5</f>
        <v>0.0015</v>
      </c>
      <c r="F16" s="13">
        <f>'15_Données taux capital'!F5</f>
        <v>0.0015</v>
      </c>
      <c r="G16" s="13">
        <f>'15_Données taux capital'!G5</f>
        <v>0.0015</v>
      </c>
      <c r="H16" s="13">
        <f>'15_Données taux capital'!H5</f>
        <v>0.0015</v>
      </c>
      <c r="I16" s="13">
        <f>'15_Données taux capital'!I5</f>
        <v>0.0015</v>
      </c>
      <c r="J16" s="13">
        <f>'15_Données taux capital'!J5</f>
        <v>0.0015</v>
      </c>
      <c r="K16" s="13">
        <f>'15_Données taux capital'!K5</f>
        <v>0.0015</v>
      </c>
      <c r="L16" s="13">
        <f>'15_Données taux capital'!L5</f>
        <v>0.0015</v>
      </c>
      <c r="M16" s="13">
        <f>'15_Données taux capital'!M5</f>
        <v>0.0015</v>
      </c>
      <c r="N16" s="13">
        <f>'15_Données taux capital'!N5</f>
        <v>0.0015</v>
      </c>
      <c r="O16" s="13">
        <f>'15_Données taux capital'!O5</f>
        <v>0.0015</v>
      </c>
      <c r="P16" s="13">
        <f>'15_Données taux capital'!P5</f>
        <v>0.0015</v>
      </c>
    </row>
    <row r="17" spans="2:16" ht="30" customHeight="1" thickBot="1">
      <c r="B17" s="12" t="s">
        <v>11</v>
      </c>
      <c r="C17" s="86" t="s">
        <v>131</v>
      </c>
      <c r="D17" s="13">
        <f>D16*D11</f>
        <v>0.0035691</v>
      </c>
      <c r="E17" s="13">
        <f aca="true" t="shared" si="6" ref="E17:P17">E16*E11</f>
        <v>0.0036441000000000004</v>
      </c>
      <c r="F17" s="13">
        <f t="shared" si="6"/>
        <v>0.0037494</v>
      </c>
      <c r="G17" s="13">
        <f t="shared" si="6"/>
        <v>0.0037494</v>
      </c>
      <c r="H17" s="13">
        <f t="shared" si="6"/>
        <v>0.00375</v>
      </c>
      <c r="I17" s="13">
        <f t="shared" si="6"/>
        <v>0.00375</v>
      </c>
      <c r="J17" s="13">
        <f t="shared" si="6"/>
        <v>0.00375</v>
      </c>
      <c r="K17" s="13">
        <f t="shared" si="6"/>
        <v>0.00375015</v>
      </c>
      <c r="L17" s="13">
        <f t="shared" si="6"/>
        <v>0.00375015</v>
      </c>
      <c r="M17" s="13">
        <f t="shared" si="6"/>
        <v>0.00370515</v>
      </c>
      <c r="N17" s="13">
        <f t="shared" si="6"/>
        <v>0.0036451499999999998</v>
      </c>
      <c r="O17" s="13">
        <f t="shared" si="6"/>
        <v>0.0035702999999999998</v>
      </c>
      <c r="P17" s="13">
        <f t="shared" si="6"/>
        <v>0.0034877999999999997</v>
      </c>
    </row>
    <row r="18" spans="2:16" ht="29.25" customHeight="1" thickBot="1">
      <c r="B18" s="12" t="s">
        <v>12</v>
      </c>
      <c r="C18" s="67" t="s">
        <v>20</v>
      </c>
      <c r="D18" s="13">
        <f>D16*D8*D11</f>
        <v>0.0071382</v>
      </c>
      <c r="E18" s="13">
        <f aca="true" t="shared" si="7" ref="E18:P18">E16*E8*E11</f>
        <v>0.007288200000000001</v>
      </c>
      <c r="F18" s="13">
        <f t="shared" si="7"/>
        <v>0.0074988</v>
      </c>
      <c r="G18" s="13">
        <f t="shared" si="7"/>
        <v>0.0074988</v>
      </c>
      <c r="H18" s="13">
        <f t="shared" si="7"/>
        <v>0.0075</v>
      </c>
      <c r="I18" s="13">
        <f t="shared" si="7"/>
        <v>0.0075</v>
      </c>
      <c r="J18" s="13">
        <f t="shared" si="7"/>
        <v>0.0075</v>
      </c>
      <c r="K18" s="13">
        <f t="shared" si="7"/>
        <v>0.0075003</v>
      </c>
      <c r="L18" s="13">
        <f t="shared" si="7"/>
        <v>0.0075003</v>
      </c>
      <c r="M18" s="13">
        <f t="shared" si="7"/>
        <v>0.0074103</v>
      </c>
      <c r="N18" s="13">
        <f t="shared" si="7"/>
        <v>0.0072902999999999996</v>
      </c>
      <c r="O18" s="13">
        <f t="shared" si="7"/>
        <v>0.0071405999999999996</v>
      </c>
      <c r="P18" s="13">
        <f t="shared" si="7"/>
        <v>0.006975599999999999</v>
      </c>
    </row>
    <row r="19" spans="2:16" ht="30.75" customHeight="1" thickBot="1">
      <c r="B19" s="61" t="s">
        <v>132</v>
      </c>
      <c r="C19" s="69" t="s">
        <v>21</v>
      </c>
      <c r="D19" s="68">
        <f>D14+D17</f>
        <v>0.0043941</v>
      </c>
      <c r="E19" s="68">
        <f aca="true" t="shared" si="8" ref="E19:P19">E14+E17</f>
        <v>0.0044691</v>
      </c>
      <c r="F19" s="68">
        <f t="shared" si="8"/>
        <v>0.0045744</v>
      </c>
      <c r="G19" s="68">
        <f t="shared" si="8"/>
        <v>0.0045744</v>
      </c>
      <c r="H19" s="68">
        <f t="shared" si="8"/>
        <v>0.00455</v>
      </c>
      <c r="I19" s="68">
        <f t="shared" si="8"/>
        <v>0.00455</v>
      </c>
      <c r="J19" s="68">
        <f t="shared" si="8"/>
        <v>0.00455</v>
      </c>
      <c r="K19" s="68">
        <f t="shared" si="8"/>
        <v>0.00375015</v>
      </c>
      <c r="L19" s="68">
        <f t="shared" si="8"/>
        <v>0.00375015</v>
      </c>
      <c r="M19" s="68">
        <f t="shared" si="8"/>
        <v>0.00370515</v>
      </c>
      <c r="N19" s="68">
        <f t="shared" si="8"/>
        <v>0.0036451499999999998</v>
      </c>
      <c r="O19" s="68">
        <f t="shared" si="8"/>
        <v>0.0035702999999999998</v>
      </c>
      <c r="P19" s="68">
        <f t="shared" si="8"/>
        <v>0.0034877999999999997</v>
      </c>
    </row>
    <row r="20" spans="2:16" ht="29.25" customHeight="1" thickBot="1">
      <c r="B20" s="61" t="s">
        <v>13</v>
      </c>
      <c r="C20" s="69" t="s">
        <v>123</v>
      </c>
      <c r="D20" s="68">
        <f>D15+D18</f>
        <v>0.0087882</v>
      </c>
      <c r="E20" s="68">
        <f aca="true" t="shared" si="9" ref="E20:P20">E15+E18</f>
        <v>0.0089382</v>
      </c>
      <c r="F20" s="68">
        <f t="shared" si="9"/>
        <v>0.0091488</v>
      </c>
      <c r="G20" s="68">
        <f t="shared" si="9"/>
        <v>0.0091488</v>
      </c>
      <c r="H20" s="68">
        <f t="shared" si="9"/>
        <v>0.0091</v>
      </c>
      <c r="I20" s="68">
        <f t="shared" si="9"/>
        <v>0.0091</v>
      </c>
      <c r="J20" s="68">
        <f t="shared" si="9"/>
        <v>0.0091</v>
      </c>
      <c r="K20" s="68">
        <f t="shared" si="9"/>
        <v>0.0075003</v>
      </c>
      <c r="L20" s="68">
        <f t="shared" si="9"/>
        <v>0.0075003</v>
      </c>
      <c r="M20" s="68">
        <f t="shared" si="9"/>
        <v>0.0074103</v>
      </c>
      <c r="N20" s="68">
        <f t="shared" si="9"/>
        <v>0.0072902999999999996</v>
      </c>
      <c r="O20" s="68">
        <f t="shared" si="9"/>
        <v>0.0071405999999999996</v>
      </c>
      <c r="P20" s="68">
        <f t="shared" si="9"/>
        <v>0.006975599999999999</v>
      </c>
    </row>
    <row r="21" spans="2:16" ht="31.5" customHeight="1" thickBot="1">
      <c r="B21" s="70" t="s">
        <v>22</v>
      </c>
      <c r="C21" s="71" t="s">
        <v>124</v>
      </c>
      <c r="D21" s="68">
        <f>D13+D20</f>
        <v>0.3923162</v>
      </c>
      <c r="E21" s="68">
        <f aca="true" t="shared" si="10" ref="E21:P21">E13+E20</f>
        <v>0.3984662</v>
      </c>
      <c r="F21" s="68">
        <f t="shared" si="10"/>
        <v>0.4071008</v>
      </c>
      <c r="G21" s="68">
        <f t="shared" si="10"/>
        <v>0.4071008</v>
      </c>
      <c r="H21" s="68">
        <f t="shared" si="10"/>
        <v>0.4071</v>
      </c>
      <c r="I21" s="68">
        <f t="shared" si="10"/>
        <v>0.4071</v>
      </c>
      <c r="J21" s="68">
        <f t="shared" si="10"/>
        <v>0.4071</v>
      </c>
      <c r="K21" s="68">
        <f t="shared" si="10"/>
        <v>0.3925123</v>
      </c>
      <c r="L21" s="68">
        <f t="shared" si="10"/>
        <v>0.34251030000000005</v>
      </c>
      <c r="M21" s="68">
        <f t="shared" si="10"/>
        <v>0.3394203</v>
      </c>
      <c r="N21" s="68">
        <f t="shared" si="10"/>
        <v>0.3353003</v>
      </c>
      <c r="O21" s="68">
        <f t="shared" si="10"/>
        <v>0.3301606</v>
      </c>
      <c r="P21" s="68">
        <f t="shared" si="10"/>
        <v>0.3244956</v>
      </c>
    </row>
    <row r="22" spans="2:16" ht="31.5" customHeight="1" thickBot="1">
      <c r="B22" s="2" t="s">
        <v>23</v>
      </c>
      <c r="C22" s="48" t="s">
        <v>42</v>
      </c>
      <c r="D22" s="5">
        <f>D21/(1+D13)</f>
        <v>0.2835621686008523</v>
      </c>
      <c r="E22" s="5">
        <f aca="true" t="shared" si="11" ref="E22:P22">E21/(1+E13)</f>
        <v>0.2867637068126731</v>
      </c>
      <c r="F22" s="5">
        <f t="shared" si="11"/>
        <v>0.2912122876894199</v>
      </c>
      <c r="G22" s="5">
        <f t="shared" si="11"/>
        <v>0.2912122876894199</v>
      </c>
      <c r="H22" s="5">
        <f t="shared" si="11"/>
        <v>0.2912017167381974</v>
      </c>
      <c r="I22" s="5">
        <f t="shared" si="11"/>
        <v>0.2912017167381974</v>
      </c>
      <c r="J22" s="5">
        <f t="shared" si="11"/>
        <v>0.2912017167381974</v>
      </c>
      <c r="K22" s="5">
        <f t="shared" si="11"/>
        <v>0.28339992722084717</v>
      </c>
      <c r="L22" s="5">
        <f t="shared" si="11"/>
        <v>0.25656010067340324</v>
      </c>
      <c r="M22" s="5">
        <f t="shared" si="11"/>
        <v>0.25481813199600606</v>
      </c>
      <c r="N22" s="5">
        <f t="shared" si="11"/>
        <v>0.25248326443324975</v>
      </c>
      <c r="O22" s="5">
        <f t="shared" si="11"/>
        <v>0.2495507248567671</v>
      </c>
      <c r="P22" s="5">
        <f t="shared" si="11"/>
        <v>0.24629273179913777</v>
      </c>
    </row>
    <row r="23" spans="2:16" ht="38.25" customHeight="1" thickBot="1">
      <c r="B23" s="2" t="s">
        <v>45</v>
      </c>
      <c r="C23" s="48" t="s">
        <v>43</v>
      </c>
      <c r="D23" s="5">
        <f>D9*(1-D22)+D15</f>
        <v>0.07186090747711647</v>
      </c>
      <c r="E23" s="5">
        <f aca="true" t="shared" si="12" ref="E23:P23">E9*(1-E22)+E15</f>
        <v>0.07154715673235804</v>
      </c>
      <c r="F23" s="5">
        <f t="shared" si="12"/>
        <v>0.07111119580643685</v>
      </c>
      <c r="G23" s="5">
        <f t="shared" si="12"/>
        <v>0.07111119580643685</v>
      </c>
      <c r="H23" s="5">
        <f t="shared" si="12"/>
        <v>0.07106223175965666</v>
      </c>
      <c r="I23" s="5">
        <f t="shared" si="12"/>
        <v>0.07106223175965666</v>
      </c>
      <c r="J23" s="5">
        <f t="shared" si="12"/>
        <v>0.07106223175965666</v>
      </c>
      <c r="K23" s="5">
        <f t="shared" si="12"/>
        <v>0.060911006186227995</v>
      </c>
      <c r="L23" s="5">
        <f t="shared" si="12"/>
        <v>0.06319239144276073</v>
      </c>
      <c r="M23" s="5">
        <f t="shared" si="12"/>
        <v>0.06334045878033949</v>
      </c>
      <c r="N23" s="5">
        <f t="shared" si="12"/>
        <v>0.06353892252317378</v>
      </c>
      <c r="O23" s="5">
        <f t="shared" si="12"/>
        <v>0.0637881883871748</v>
      </c>
      <c r="P23" s="5">
        <f t="shared" si="12"/>
        <v>0.06406511779707329</v>
      </c>
    </row>
    <row r="24" spans="2:16" ht="20.25" customHeight="1" thickBot="1">
      <c r="B24" s="2" t="s">
        <v>46</v>
      </c>
      <c r="C24" s="48" t="s">
        <v>133</v>
      </c>
      <c r="D24" s="5">
        <f>D23-D15</f>
        <v>0.07021090747711647</v>
      </c>
      <c r="E24" s="5">
        <f aca="true" t="shared" si="13" ref="E24:P24">E23-E15</f>
        <v>0.06989715673235804</v>
      </c>
      <c r="F24" s="5">
        <f t="shared" si="13"/>
        <v>0.06946119580643685</v>
      </c>
      <c r="G24" s="5">
        <f t="shared" si="13"/>
        <v>0.06946119580643685</v>
      </c>
      <c r="H24" s="5">
        <f t="shared" si="13"/>
        <v>0.06946223175965666</v>
      </c>
      <c r="I24" s="5">
        <f t="shared" si="13"/>
        <v>0.06946223175965666</v>
      </c>
      <c r="J24" s="5">
        <f t="shared" si="13"/>
        <v>0.06946223175965666</v>
      </c>
      <c r="K24" s="5">
        <f t="shared" si="13"/>
        <v>0.060911006186227995</v>
      </c>
      <c r="L24" s="5">
        <f t="shared" si="13"/>
        <v>0.06319239144276073</v>
      </c>
      <c r="M24" s="5">
        <f t="shared" si="13"/>
        <v>0.06334045878033949</v>
      </c>
      <c r="N24" s="5">
        <f t="shared" si="13"/>
        <v>0.06353892252317378</v>
      </c>
      <c r="O24" s="5">
        <f t="shared" si="13"/>
        <v>0.0637881883871748</v>
      </c>
      <c r="P24" s="5">
        <f t="shared" si="13"/>
        <v>0.06406511779707329</v>
      </c>
    </row>
    <row r="25" spans="2:16" ht="37.5" customHeight="1" thickBot="1">
      <c r="B25" s="2" t="s">
        <v>47</v>
      </c>
      <c r="C25" s="48" t="s">
        <v>44</v>
      </c>
      <c r="D25" s="5">
        <f>(D12*(1-D22))+D18</f>
        <v>0.21170126112373586</v>
      </c>
      <c r="E25" s="5">
        <f aca="true" t="shared" si="14" ref="E25:P25">(E12*(1-E22))+E18</f>
        <v>0.215216550080315</v>
      </c>
      <c r="F25" s="5">
        <f t="shared" si="14"/>
        <v>0.22010109188298313</v>
      </c>
      <c r="G25" s="5">
        <f t="shared" si="14"/>
        <v>0.22010109188298313</v>
      </c>
      <c r="H25" s="5">
        <f t="shared" si="14"/>
        <v>0.22013948497854077</v>
      </c>
      <c r="I25" s="5">
        <f t="shared" si="14"/>
        <v>0.22013948497854077</v>
      </c>
      <c r="J25" s="5">
        <f t="shared" si="14"/>
        <v>0.22013948497854077</v>
      </c>
      <c r="K25" s="5">
        <f t="shared" si="14"/>
        <v>0.22248892103461915</v>
      </c>
      <c r="L25" s="5">
        <f t="shared" si="14"/>
        <v>0.19336770923064245</v>
      </c>
      <c r="M25" s="5">
        <f t="shared" si="14"/>
        <v>0.19147767321566656</v>
      </c>
      <c r="N25" s="5">
        <f t="shared" si="14"/>
        <v>0.18894434191007597</v>
      </c>
      <c r="O25" s="5">
        <f t="shared" si="14"/>
        <v>0.1857625364695923</v>
      </c>
      <c r="P25" s="5">
        <f t="shared" si="14"/>
        <v>0.18222761400206447</v>
      </c>
    </row>
    <row r="26" spans="2:16" ht="18" thickBot="1">
      <c r="B26" s="2" t="s">
        <v>48</v>
      </c>
      <c r="C26" s="48" t="s">
        <v>40</v>
      </c>
      <c r="D26" s="5">
        <f>D25-D18</f>
        <v>0.20456306112373585</v>
      </c>
      <c r="E26" s="5">
        <f aca="true" t="shared" si="15" ref="E26:P26">E25-E18</f>
        <v>0.20792835008031502</v>
      </c>
      <c r="F26" s="5">
        <f t="shared" si="15"/>
        <v>0.21260229188298313</v>
      </c>
      <c r="G26" s="5">
        <f t="shared" si="15"/>
        <v>0.21260229188298313</v>
      </c>
      <c r="H26" s="5">
        <f t="shared" si="15"/>
        <v>0.21263948497854077</v>
      </c>
      <c r="I26" s="5">
        <f t="shared" si="15"/>
        <v>0.21263948497854077</v>
      </c>
      <c r="J26" s="5">
        <f t="shared" si="15"/>
        <v>0.21263948497854077</v>
      </c>
      <c r="K26" s="5">
        <f t="shared" si="15"/>
        <v>0.21498862103461916</v>
      </c>
      <c r="L26" s="5">
        <f t="shared" si="15"/>
        <v>0.18586740923064246</v>
      </c>
      <c r="M26" s="5">
        <f t="shared" si="15"/>
        <v>0.18406737321566655</v>
      </c>
      <c r="N26" s="5">
        <f t="shared" si="15"/>
        <v>0.18165404191007598</v>
      </c>
      <c r="O26" s="5">
        <f t="shared" si="15"/>
        <v>0.1786219364695923</v>
      </c>
      <c r="P26" s="5">
        <f t="shared" si="15"/>
        <v>0.17525201400206447</v>
      </c>
    </row>
    <row r="27" spans="2:16" ht="21" customHeight="1" thickBot="1">
      <c r="B27" s="61" t="s">
        <v>49</v>
      </c>
      <c r="C27" s="71" t="s">
        <v>38</v>
      </c>
      <c r="D27" s="80">
        <f>D13*(1-D20)/(1+D13)</f>
        <v>0.2747739686008523</v>
      </c>
      <c r="E27" s="80">
        <f aca="true" t="shared" si="16" ref="E27:P27">E13*(1-E20)/(1+E13)</f>
        <v>0.2778255068126731</v>
      </c>
      <c r="F27" s="80">
        <f t="shared" si="16"/>
        <v>0.2820634876894199</v>
      </c>
      <c r="G27" s="80">
        <f t="shared" si="16"/>
        <v>0.2820634876894199</v>
      </c>
      <c r="H27" s="80">
        <f t="shared" si="16"/>
        <v>0.2821017167381974</v>
      </c>
      <c r="I27" s="80">
        <f t="shared" si="16"/>
        <v>0.2821017167381974</v>
      </c>
      <c r="J27" s="80">
        <f t="shared" si="16"/>
        <v>0.2821017167381974</v>
      </c>
      <c r="K27" s="80">
        <f t="shared" si="16"/>
        <v>0.27589962722084715</v>
      </c>
      <c r="L27" s="80">
        <f t="shared" si="16"/>
        <v>0.24905980067340322</v>
      </c>
      <c r="M27" s="80">
        <f t="shared" si="16"/>
        <v>0.24740783199600608</v>
      </c>
      <c r="N27" s="80">
        <f t="shared" si="16"/>
        <v>0.2451929644332498</v>
      </c>
      <c r="O27" s="80">
        <f t="shared" si="16"/>
        <v>0.24241012485676708</v>
      </c>
      <c r="P27" s="80">
        <f t="shared" si="16"/>
        <v>0.23931713179913777</v>
      </c>
    </row>
    <row r="28" spans="2:16" ht="20.25" customHeight="1" thickBot="1">
      <c r="B28" s="61" t="s">
        <v>50</v>
      </c>
      <c r="C28" s="71" t="s">
        <v>100</v>
      </c>
      <c r="D28" s="80">
        <f>D20</f>
        <v>0.0087882</v>
      </c>
      <c r="E28" s="80">
        <f aca="true" t="shared" si="17" ref="E28:P28">E20</f>
        <v>0.0089382</v>
      </c>
      <c r="F28" s="80">
        <f t="shared" si="17"/>
        <v>0.0091488</v>
      </c>
      <c r="G28" s="80">
        <f t="shared" si="17"/>
        <v>0.0091488</v>
      </c>
      <c r="H28" s="80">
        <f t="shared" si="17"/>
        <v>0.0091</v>
      </c>
      <c r="I28" s="80">
        <f t="shared" si="17"/>
        <v>0.0091</v>
      </c>
      <c r="J28" s="80">
        <f t="shared" si="17"/>
        <v>0.0091</v>
      </c>
      <c r="K28" s="80">
        <f t="shared" si="17"/>
        <v>0.0075003</v>
      </c>
      <c r="L28" s="80">
        <f t="shared" si="17"/>
        <v>0.0075003</v>
      </c>
      <c r="M28" s="80">
        <f t="shared" si="17"/>
        <v>0.0074103</v>
      </c>
      <c r="N28" s="80">
        <f t="shared" si="17"/>
        <v>0.0072902999999999996</v>
      </c>
      <c r="O28" s="80">
        <f t="shared" si="17"/>
        <v>0.0071405999999999996</v>
      </c>
      <c r="P28" s="80">
        <f t="shared" si="17"/>
        <v>0.006975599999999999</v>
      </c>
    </row>
    <row r="29" spans="2:16" ht="6.75" customHeight="1" thickBot="1">
      <c r="B29" s="61"/>
      <c r="C29" s="71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2:16" ht="17.25" customHeight="1" thickBot="1">
      <c r="B30" s="183" t="s">
        <v>448</v>
      </c>
      <c r="C30" s="184" t="s">
        <v>449</v>
      </c>
      <c r="D30" s="88">
        <f>D27+D28</f>
        <v>0.2835621686008523</v>
      </c>
      <c r="E30" s="88">
        <f aca="true" t="shared" si="18" ref="E30:P30">E27+E28</f>
        <v>0.2867637068126731</v>
      </c>
      <c r="F30" s="88">
        <f t="shared" si="18"/>
        <v>0.2912122876894199</v>
      </c>
      <c r="G30" s="88">
        <f t="shared" si="18"/>
        <v>0.2912122876894199</v>
      </c>
      <c r="H30" s="88">
        <f t="shared" si="18"/>
        <v>0.2912017167381974</v>
      </c>
      <c r="I30" s="88">
        <f t="shared" si="18"/>
        <v>0.2912017167381974</v>
      </c>
      <c r="J30" s="88">
        <f t="shared" si="18"/>
        <v>0.2912017167381974</v>
      </c>
      <c r="K30" s="88">
        <f t="shared" si="18"/>
        <v>0.28339992722084717</v>
      </c>
      <c r="L30" s="88">
        <f t="shared" si="18"/>
        <v>0.25656010067340324</v>
      </c>
      <c r="M30" s="88">
        <f t="shared" si="18"/>
        <v>0.25481813199600606</v>
      </c>
      <c r="N30" s="88">
        <f t="shared" si="18"/>
        <v>0.2524832644332498</v>
      </c>
      <c r="O30" s="88">
        <f t="shared" si="18"/>
        <v>0.24955072485676708</v>
      </c>
      <c r="P30" s="88">
        <f t="shared" si="18"/>
        <v>0.24629273179913777</v>
      </c>
    </row>
    <row r="31" spans="2:16" ht="18" thickBot="1">
      <c r="B31" s="183" t="s">
        <v>450</v>
      </c>
      <c r="C31" s="185" t="s">
        <v>451</v>
      </c>
      <c r="D31" s="88">
        <f>'3_Synthèse calcul taux_et cfis'!E25</f>
        <v>0.2835621686008523</v>
      </c>
      <c r="E31" s="88">
        <f>'3_Synthèse calcul taux_et cfis'!F25</f>
        <v>0.2867637068126731</v>
      </c>
      <c r="F31" s="88">
        <f>'3_Synthèse calcul taux_et cfis'!G25</f>
        <v>0.2912122876894199</v>
      </c>
      <c r="G31" s="88">
        <f>'3_Synthèse calcul taux_et cfis'!H25</f>
        <v>0.2912122876894199</v>
      </c>
      <c r="H31" s="88">
        <f>'3_Synthèse calcul taux_et cfis'!I25</f>
        <v>0.2912017167381974</v>
      </c>
      <c r="I31" s="88">
        <f>'3_Synthèse calcul taux_et cfis'!J25</f>
        <v>0.2912017167381974</v>
      </c>
      <c r="J31" s="88">
        <f>'3_Synthèse calcul taux_et cfis'!K25</f>
        <v>0.2912017167381974</v>
      </c>
      <c r="K31" s="88">
        <f>'3_Synthèse calcul taux_et cfis'!L25</f>
        <v>0.28339992722084717</v>
      </c>
      <c r="L31" s="88">
        <f>'3_Synthèse calcul taux_et cfis'!M25</f>
        <v>0.25656010067340324</v>
      </c>
      <c r="M31" s="88">
        <f>'3_Synthèse calcul taux_et cfis'!N25</f>
        <v>0.25481813199600606</v>
      </c>
      <c r="N31" s="88">
        <f>'3_Synthèse calcul taux_et cfis'!O25</f>
        <v>0.2524832644332498</v>
      </c>
      <c r="O31" s="88">
        <f>'3_Synthèse calcul taux_et cfis'!P25</f>
        <v>0.24955072485676708</v>
      </c>
      <c r="P31" s="88">
        <f>'3_Synthèse calcul taux_et cfis'!Q25</f>
        <v>0.24629273179913777</v>
      </c>
    </row>
    <row r="32" spans="2:16" ht="18" thickBot="1">
      <c r="B32" s="186" t="s">
        <v>452</v>
      </c>
      <c r="C32" s="185" t="s">
        <v>454</v>
      </c>
      <c r="D32" s="88">
        <f>'3_Synthèse calcul taux_et cfis'!E26</f>
        <v>0.283556</v>
      </c>
      <c r="E32" s="88">
        <f>'3_Synthèse calcul taux_et cfis'!F26</f>
        <v>0.28675</v>
      </c>
      <c r="F32" s="88">
        <f>'3_Synthèse calcul taux_et cfis'!G26</f>
        <v>0.291217</v>
      </c>
      <c r="G32" s="88">
        <f>'3_Synthèse calcul taux_et cfis'!H26</f>
        <v>0.291217</v>
      </c>
      <c r="H32" s="88">
        <f>'3_Synthèse calcul taux_et cfis'!I26</f>
        <v>0.291202</v>
      </c>
      <c r="I32" s="88">
        <f>'3_Synthèse calcul taux_et cfis'!J26</f>
        <v>0.291202</v>
      </c>
      <c r="J32" s="88">
        <f>'3_Synthèse calcul taux_et cfis'!K26</f>
        <v>0.291211</v>
      </c>
      <c r="K32" s="88">
        <f>'3_Synthèse calcul taux_et cfis'!L26</f>
        <v>0.2834</v>
      </c>
      <c r="L32" s="88">
        <f>'3_Synthèse calcul taux_et cfis'!M26</f>
        <v>0.256547</v>
      </c>
      <c r="M32" s="88">
        <f>'3_Synthèse calcul taux_et cfis'!N26</f>
        <v>0.254824</v>
      </c>
      <c r="N32" s="88">
        <f>'3_Synthèse calcul taux_et cfis'!O26</f>
        <v>0.252477</v>
      </c>
      <c r="O32" s="88">
        <f>'3_Synthèse calcul taux_et cfis'!P26</f>
        <v>0.249535</v>
      </c>
      <c r="P32" s="88">
        <f>'3_Synthèse calcul taux_et cfis'!Q26</f>
        <v>0.24629</v>
      </c>
    </row>
    <row r="33" spans="2:16" ht="18" thickBot="1">
      <c r="B33" s="183" t="s">
        <v>456</v>
      </c>
      <c r="C33" s="189" t="s">
        <v>457</v>
      </c>
      <c r="D33" s="88">
        <f>D30-D31</f>
        <v>0</v>
      </c>
      <c r="E33" s="88">
        <f aca="true" t="shared" si="19" ref="E33:P33">E30-E31</f>
        <v>0</v>
      </c>
      <c r="F33" s="88">
        <f t="shared" si="19"/>
        <v>0</v>
      </c>
      <c r="G33" s="88">
        <f t="shared" si="19"/>
        <v>0</v>
      </c>
      <c r="H33" s="88">
        <f t="shared" si="19"/>
        <v>0</v>
      </c>
      <c r="I33" s="88">
        <f t="shared" si="19"/>
        <v>0</v>
      </c>
      <c r="J33" s="88">
        <f t="shared" si="19"/>
        <v>0</v>
      </c>
      <c r="K33" s="88">
        <f t="shared" si="19"/>
        <v>0</v>
      </c>
      <c r="L33" s="88">
        <f t="shared" si="19"/>
        <v>0</v>
      </c>
      <c r="M33" s="88">
        <f t="shared" si="19"/>
        <v>0</v>
      </c>
      <c r="N33" s="88">
        <f t="shared" si="19"/>
        <v>0</v>
      </c>
      <c r="O33" s="88">
        <f t="shared" si="19"/>
        <v>0</v>
      </c>
      <c r="P33" s="88">
        <f t="shared" si="19"/>
        <v>0</v>
      </c>
    </row>
  </sheetData>
  <hyperlinks>
    <hyperlink ref="A1" location="'Table de synthèse des tableaux'!A1" display="'Table de synthèse des tableaux'!A1"/>
  </hyperlinks>
  <printOptions/>
  <pageMargins left="0.75" right="0.75" top="1" bottom="1" header="0.4921259845" footer="0.49212598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col-loc_adm</dc:creator>
  <cp:keywords/>
  <dc:description/>
  <cp:lastModifiedBy>estv-clb</cp:lastModifiedBy>
  <cp:lastPrinted>2004-06-28T09:07:11Z</cp:lastPrinted>
  <dcterms:created xsi:type="dcterms:W3CDTF">2003-05-20T16:41:58Z</dcterms:created>
  <dcterms:modified xsi:type="dcterms:W3CDTF">2005-01-17T14:00:55Z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