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0_1.bin" ContentType="application/vnd.openxmlformats-officedocument.oleObject"/>
  <Override PartName="/xl/embeddings/oleObject_10_2.bin" ContentType="application/vnd.openxmlformats-officedocument.oleObject"/>
  <Override PartName="/xl/embeddings/oleObject_10_3.bin" ContentType="application/vnd.openxmlformats-officedocument.oleObject"/>
  <Override PartName="/xl/embeddings/oleObject_11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19_1.bin" ContentType="application/vnd.openxmlformats-officedocument.oleObject"/>
  <Override PartName="/xl/embeddings/oleObject_26_0.bin" ContentType="application/vnd.openxmlformats-officedocument.oleObject"/>
  <Override PartName="/xl/embeddings/oleObject_26_1.bin" ContentType="application/vnd.openxmlformats-officedocument.oleObject"/>
  <Override PartName="/xl/embeddings/oleObject_27_0.bin" ContentType="application/vnd.openxmlformats-officedocument.oleObject"/>
  <Override PartName="/xl/embeddings/oleObject_27_1.bin" ContentType="application/vnd.openxmlformats-officedocument.oleObject"/>
  <Override PartName="/xl/embeddings/oleObject_28_0.bin" ContentType="application/vnd.openxmlformats-officedocument.oleObject"/>
  <Override PartName="/xl/embeddings/oleObject_28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80" windowHeight="8340" activeTab="0"/>
  </bookViews>
  <sheets>
    <sheet name="Titre" sheetId="1" r:id="rId1"/>
    <sheet name="Plan du fichier" sheetId="2" r:id="rId2"/>
    <sheet name="1.1_Hypothèses" sheetId="3" r:id="rId3"/>
    <sheet name="1.2_Etapes" sheetId="4" r:id="rId4"/>
    <sheet name="2_BDD_Effectif_IF_IAN" sheetId="5" r:id="rId5"/>
    <sheet name="3_Calcul de i" sheetId="6" r:id="rId6"/>
    <sheet name="4_Calcul de s" sheetId="7" r:id="rId7"/>
    <sheet name="5.1_Calcul de Z effectif" sheetId="8" r:id="rId8"/>
    <sheet name="5.2_Tx d'escompte_Dette" sheetId="9" r:id="rId9"/>
    <sheet name="5.3_Tx d'escompte_RE" sheetId="10" r:id="rId10"/>
    <sheet name="5.4_Tx d'escompte_NE_M1" sheetId="11" r:id="rId11"/>
    <sheet name="5.5_Tx d'escompte_NE_M2" sheetId="12" r:id="rId12"/>
    <sheet name="5.6_Recapitulatif_Tx d'escompte" sheetId="13" r:id="rId13"/>
    <sheet name="6.1_Amortissement_Machines" sheetId="14" r:id="rId14"/>
    <sheet name="6.2_Amortissements_Batiments" sheetId="15" r:id="rId15"/>
    <sheet name="6.3_Recapitulatif_Amortissement" sheetId="16" r:id="rId16"/>
    <sheet name="7_Etapes pour p" sheetId="17" r:id="rId17"/>
    <sheet name="7.1_p_Machines_3 formes de fin" sheetId="18" r:id="rId18"/>
    <sheet name="7.2_p_Batiments_3 formes de fin" sheetId="19" r:id="rId19"/>
    <sheet name="7.3_p_stocks_3 formes de fin" sheetId="20" r:id="rId20"/>
    <sheet name="7.4_recap_p_actifs" sheetId="21" r:id="rId21"/>
    <sheet name="7.5_p_dette" sheetId="22" r:id="rId22"/>
    <sheet name="7.6_p_RE" sheetId="23" r:id="rId23"/>
    <sheet name="7.7_p_NE" sheetId="24" r:id="rId24"/>
    <sheet name="7.8_Recap_p_forme de fin" sheetId="25" r:id="rId25"/>
    <sheet name="7.9_Recap_p" sheetId="26" r:id="rId26"/>
    <sheet name="8_Recap_coin fiscal" sheetId="27" r:id="rId27"/>
    <sheet name="9_Calcul_EMTR" sheetId="28" r:id="rId28"/>
    <sheet name="10_Recap_EMTR" sheetId="29" r:id="rId29"/>
    <sheet name="11_Recapitulatif_Global" sheetId="30" r:id="rId30"/>
    <sheet name="12_Recap_par type d'invest" sheetId="31" r:id="rId31"/>
    <sheet name="13_Recap_par forme de fin" sheetId="32" r:id="rId32"/>
    <sheet name="14_Résultats_2003" sheetId="33" r:id="rId33"/>
  </sheets>
  <definedNames/>
  <calcPr fullCalcOnLoad="1"/>
</workbook>
</file>

<file path=xl/comments15.xml><?xml version="1.0" encoding="utf-8"?>
<comments xmlns="http://schemas.openxmlformats.org/spreadsheetml/2006/main">
  <authors>
    <author>col-loc_adm</author>
  </authors>
  <commentList>
    <comment ref="D11" authorId="0">
      <text>
        <r>
          <rPr>
            <b/>
            <sz val="8"/>
            <rFont val="Tahoma"/>
            <family val="0"/>
          </rPr>
          <t>col-loc_adm:</t>
        </r>
        <r>
          <rPr>
            <sz val="8"/>
            <rFont val="Tahoma"/>
            <family val="0"/>
          </rPr>
          <t xml:space="preserve">
nombre d'années pendant lesquelles l'entreprise peut bénéficier d'un abattement pour amortissement</t>
        </r>
      </text>
    </comment>
  </commentList>
</comments>
</file>

<file path=xl/comments18.xml><?xml version="1.0" encoding="utf-8"?>
<comments xmlns="http://schemas.openxmlformats.org/spreadsheetml/2006/main">
  <authors>
    <author>col-loc_adm</author>
  </authors>
  <commentList>
    <comment ref="C14" authorId="0">
      <text>
        <r>
          <rPr>
            <b/>
            <sz val="8"/>
            <rFont val="Tahoma"/>
            <family val="0"/>
          </rPr>
          <t>col-loc_adm:</t>
        </r>
        <r>
          <rPr>
            <sz val="8"/>
            <rFont val="Tahoma"/>
            <family val="0"/>
          </rPr>
          <t xml:space="preserve">
Taux d'amortissement économique des actifs
</t>
        </r>
      </text>
    </comment>
  </commentList>
</comments>
</file>

<file path=xl/comments19.xml><?xml version="1.0" encoding="utf-8"?>
<comments xmlns="http://schemas.openxmlformats.org/spreadsheetml/2006/main">
  <authors>
    <author>col-loc_adm</author>
  </authors>
  <commentList>
    <comment ref="C14" authorId="0">
      <text>
        <r>
          <rPr>
            <b/>
            <sz val="8"/>
            <rFont val="Tahoma"/>
            <family val="0"/>
          </rPr>
          <t>col-loc_adm:</t>
        </r>
        <r>
          <rPr>
            <sz val="8"/>
            <rFont val="Tahoma"/>
            <family val="0"/>
          </rPr>
          <t xml:space="preserve">
Taux d'amortissement économique des actifs
</t>
        </r>
      </text>
    </comment>
  </commentList>
</comments>
</file>

<file path=xl/comments2.xml><?xml version="1.0" encoding="utf-8"?>
<comments xmlns="http://schemas.openxmlformats.org/spreadsheetml/2006/main">
  <authors>
    <author>col-loc_adm</author>
  </authors>
  <commentList>
    <comment ref="C18" authorId="0">
      <text>
        <r>
          <rPr>
            <b/>
            <sz val="8"/>
            <rFont val="Tahoma"/>
            <family val="0"/>
          </rPr>
          <t>col-loc_adm:</t>
        </r>
        <r>
          <rPr>
            <sz val="8"/>
            <rFont val="Tahoma"/>
            <family val="0"/>
          </rPr>
          <t xml:space="preserve">
Valeur actuelle des abattements pour amortissement</t>
        </r>
      </text>
    </comment>
  </commentList>
</comments>
</file>

<file path=xl/comments20.xml><?xml version="1.0" encoding="utf-8"?>
<comments xmlns="http://schemas.openxmlformats.org/spreadsheetml/2006/main">
  <authors>
    <author>col-loc_adm</author>
  </authors>
  <commentList>
    <comment ref="D11" authorId="0">
      <text>
        <r>
          <rPr>
            <b/>
            <sz val="8"/>
            <rFont val="Tahoma"/>
            <family val="0"/>
          </rPr>
          <t>col-loc_adm:</t>
        </r>
        <r>
          <rPr>
            <sz val="8"/>
            <rFont val="Tahoma"/>
            <family val="0"/>
          </rPr>
          <t xml:space="preserve">
Ici, LIFO, à l'inverse de FIFO (taxation). Par exemple :   30 % de la valeur des stocks peuvent être déduit chaque année donc v = 0.7.
v représente la part de la valeur des stocks à taxer (share of inventories valued v).</t>
        </r>
      </text>
    </comment>
  </commentList>
</comments>
</file>

<file path=xl/comments27.xml><?xml version="1.0" encoding="utf-8"?>
<comments xmlns="http://schemas.openxmlformats.org/spreadsheetml/2006/main">
  <authors>
    <author>col-loc_adm</author>
  </authors>
  <commentList>
    <comment ref="D17" authorId="0">
      <text>
        <r>
          <rPr>
            <b/>
            <sz val="8"/>
            <rFont val="Tahoma"/>
            <family val="0"/>
          </rPr>
          <t>col-loc_adm:</t>
        </r>
        <r>
          <rPr>
            <sz val="8"/>
            <rFont val="Tahoma"/>
            <family val="0"/>
          </rPr>
          <t xml:space="preserve">
Coût global pour les machine = pondération selon les types de financement. 
CM=a(pMD-s) +b (pMNE-s) +c(pMBE-s)
Avec a, b, c respectivement les coefficients de pondération pour l'endettement, l'emission d'actions, les bénéfices réinvestis.
Pour le coût global Cm est aussi égal à p-s global.
Par contre lors du calcul des EMTR, on doit refaire la pondération</t>
        </r>
      </text>
    </comment>
  </commentList>
</comments>
</file>

<file path=xl/comments33.xml><?xml version="1.0" encoding="utf-8"?>
<comments xmlns="http://schemas.openxmlformats.org/spreadsheetml/2006/main">
  <authors>
    <author>col-loc_adm</author>
  </authors>
  <commentList>
    <comment ref="B9" authorId="0">
      <text>
        <r>
          <rPr>
            <b/>
            <sz val="8"/>
            <rFont val="Tahoma"/>
            <family val="0"/>
          </rPr>
          <t>col-loc_adm:</t>
        </r>
        <r>
          <rPr>
            <sz val="8"/>
            <rFont val="Tahoma"/>
            <family val="0"/>
          </rPr>
          <t xml:space="preserve">
Coût global</t>
        </r>
      </text>
    </comment>
  </commentList>
</comments>
</file>

<file path=xl/comments4.xml><?xml version="1.0" encoding="utf-8"?>
<comments xmlns="http://schemas.openxmlformats.org/spreadsheetml/2006/main">
  <authors>
    <author>col-loc_adm</author>
  </authors>
  <commentList>
    <comment ref="B6" authorId="0">
      <text>
        <r>
          <rPr>
            <b/>
            <sz val="8"/>
            <rFont val="Tahoma"/>
            <family val="0"/>
          </rPr>
          <t>col-loc_adm:</t>
        </r>
        <r>
          <rPr>
            <sz val="8"/>
            <rFont val="Tahoma"/>
            <family val="0"/>
          </rPr>
          <t xml:space="preserve">
en vert : les données</t>
        </r>
      </text>
    </comment>
    <comment ref="B8" authorId="0">
      <text>
        <r>
          <rPr>
            <b/>
            <sz val="8"/>
            <rFont val="Tahoma"/>
            <family val="0"/>
          </rPr>
          <t>col-loc_adm:</t>
        </r>
        <r>
          <rPr>
            <sz val="8"/>
            <rFont val="Tahoma"/>
            <family val="0"/>
          </rPr>
          <t xml:space="preserve">
en orange les calculs intermédiaires</t>
        </r>
      </text>
    </comment>
  </commentList>
</comments>
</file>

<file path=xl/comments5.xml><?xml version="1.0" encoding="utf-8"?>
<comments xmlns="http://schemas.openxmlformats.org/spreadsheetml/2006/main">
  <authors>
    <author>col-loc_adm</author>
  </authors>
  <commentList>
    <comment ref="B4" authorId="0">
      <text>
        <r>
          <rPr>
            <b/>
            <sz val="8"/>
            <rFont val="Tahoma"/>
            <family val="0"/>
          </rPr>
          <t>col-loc_adm:</t>
        </r>
        <r>
          <rPr>
            <sz val="8"/>
            <rFont val="Tahoma"/>
            <family val="0"/>
          </rPr>
          <t xml:space="preserve">
Taux long confédération sur 10 ans</t>
        </r>
      </text>
    </comment>
    <comment ref="B8" authorId="0">
      <text>
        <r>
          <rPr>
            <b/>
            <sz val="8"/>
            <rFont val="Tahoma"/>
            <family val="0"/>
          </rPr>
          <t>col-loc_adm:</t>
        </r>
        <r>
          <rPr>
            <sz val="8"/>
            <rFont val="Tahoma"/>
            <family val="0"/>
          </rPr>
          <t xml:space="preserve">
Concerne l'impôt sur les personnes physiques
</t>
        </r>
      </text>
    </comment>
    <comment ref="B9" authorId="0">
      <text>
        <r>
          <rPr>
            <b/>
            <sz val="8"/>
            <rFont val="Tahoma"/>
            <family val="0"/>
          </rPr>
          <t>col-loc_adm:</t>
        </r>
        <r>
          <rPr>
            <sz val="8"/>
            <rFont val="Tahoma"/>
            <family val="0"/>
          </rPr>
          <t xml:space="preserve">
Concerne l'impôt sur les personnes physiques
</t>
        </r>
      </text>
    </comment>
    <comment ref="B10" authorId="0">
      <text>
        <r>
          <rPr>
            <b/>
            <sz val="8"/>
            <rFont val="Tahoma"/>
            <family val="0"/>
          </rPr>
          <t>col-loc_adm:</t>
        </r>
        <r>
          <rPr>
            <sz val="8"/>
            <rFont val="Tahoma"/>
            <family val="0"/>
          </rPr>
          <t xml:space="preserve">
Concerne l'impôt sur les personnes physiques
</t>
        </r>
      </text>
    </comment>
    <comment ref="B11" authorId="0">
      <text>
        <r>
          <rPr>
            <b/>
            <sz val="8"/>
            <rFont val="Tahoma"/>
            <family val="0"/>
          </rPr>
          <t>col-loc_adm:</t>
        </r>
        <r>
          <rPr>
            <sz val="8"/>
            <rFont val="Tahoma"/>
            <family val="0"/>
          </rPr>
          <t xml:space="preserve">
Concerne l'impôt sur les personnes physiques
</t>
        </r>
      </text>
    </comment>
    <comment ref="B12" authorId="0">
      <text>
        <r>
          <rPr>
            <b/>
            <sz val="8"/>
            <rFont val="Tahoma"/>
            <family val="0"/>
          </rPr>
          <t>col-loc_adm:</t>
        </r>
        <r>
          <rPr>
            <sz val="8"/>
            <rFont val="Tahoma"/>
            <family val="0"/>
          </rPr>
          <t xml:space="preserve">
Concerne l'impôt sur les personnes physiques
</t>
        </r>
      </text>
    </comment>
    <comment ref="C18" authorId="0">
      <text>
        <r>
          <rPr>
            <b/>
            <sz val="8"/>
            <rFont val="Tahoma"/>
            <family val="0"/>
          </rPr>
          <t>col-loc_adm:</t>
        </r>
        <r>
          <rPr>
            <sz val="8"/>
            <rFont val="Tahoma"/>
            <family val="0"/>
          </rPr>
          <t xml:space="preserve">
Ici, LIFO, à l'inverse de FIFO (taxation). Par ex  30 % de la valeur des stocks peuvent être déduit chaque année donc v = 0.7.
v représente la part de la valeur des stocks à taxer share of inventories valued v</t>
        </r>
      </text>
    </comment>
    <comment ref="D18" authorId="0">
      <text>
        <r>
          <rPr>
            <b/>
            <sz val="8"/>
            <rFont val="Tahoma"/>
            <family val="0"/>
          </rPr>
          <t>col-loc_adm:</t>
        </r>
        <r>
          <rPr>
            <sz val="8"/>
            <rFont val="Tahoma"/>
            <family val="0"/>
          </rPr>
          <t xml:space="preserve">
gains non imposés</t>
        </r>
      </text>
    </comment>
    <comment ref="C19" authorId="0">
      <text>
        <r>
          <rPr>
            <b/>
            <sz val="8"/>
            <rFont val="Tahoma"/>
            <family val="0"/>
          </rPr>
          <t>col-loc_adm:</t>
        </r>
        <r>
          <rPr>
            <sz val="8"/>
            <rFont val="Tahoma"/>
            <family val="0"/>
          </rPr>
          <t xml:space="preserve">
nombre d'années pendant lesquelles l'entreprise peut bénéficier d'un abattement pour amortissement</t>
        </r>
      </text>
    </comment>
  </commentList>
</comments>
</file>

<file path=xl/sharedStrings.xml><?xml version="1.0" encoding="utf-8"?>
<sst xmlns="http://schemas.openxmlformats.org/spreadsheetml/2006/main" count="991" uniqueCount="547">
  <si>
    <t>Tableau 14d :                                  2003                                             Effectif avec IF et IAN</t>
  </si>
  <si>
    <t>Tableau 14c : EMTR en 2003                                                                                                                          Effectif avec IF et IAN</t>
  </si>
  <si>
    <t>Tableau 14b:  Coin fiscal  en 2003                                                                                                      Effectif avec IF et IAN</t>
  </si>
  <si>
    <t>Tableau 14a: Coût du capital 2003 (Taux de rendement réel avant impôt)                                                 Effectif avec IF et IAN</t>
  </si>
  <si>
    <t>14_Résultats_2003'!A1</t>
  </si>
  <si>
    <t xml:space="preserve"> (Taux effectif avec imposition de la fortune et de l'actif net)</t>
  </si>
  <si>
    <t>Pour la ville de Zürich en 2003</t>
  </si>
  <si>
    <t>6                                      (de 3, 4 et 5)</t>
  </si>
  <si>
    <t>11                                    (de 4, 3, 9 et 10)</t>
  </si>
  <si>
    <t>Taux d'impôt sur l'actif net des sociétés</t>
  </si>
  <si>
    <r>
      <t>t</t>
    </r>
    <r>
      <rPr>
        <b/>
        <vertAlign val="subscript"/>
        <sz val="11"/>
        <rFont val="Arial"/>
        <family val="2"/>
      </rPr>
      <t>k</t>
    </r>
  </si>
  <si>
    <t>13                                    (de 2, 3, 4, 7, 8, 11 et 12)</t>
  </si>
  <si>
    <t>15                                           (de 7, 8 et 11)</t>
  </si>
  <si>
    <r>
      <t>17                                    (de 2, 7, 10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>11, 13,16)</t>
    </r>
  </si>
  <si>
    <t>18                                    (de 17 et 6)</t>
  </si>
  <si>
    <t>19                                    (de 17 et 18)</t>
  </si>
  <si>
    <t xml:space="preserve"> Tableau 1.3 : Paramétres utilisés dans les calculs </t>
  </si>
  <si>
    <t>5.3_Tx d''escompte_RE'!A1</t>
  </si>
  <si>
    <t>5.4_Tx d''escompte_NE_M1'!A1</t>
  </si>
  <si>
    <t>5.5_Tx d''escompte_NE_M2'!A1</t>
  </si>
  <si>
    <t>5.6_Recapitulatif_Tx d''escompte'!A1</t>
  </si>
  <si>
    <t>6.1_Amortissement_Machines'!A1</t>
  </si>
  <si>
    <t>6.2_Amortissements_Batiments'!A1</t>
  </si>
  <si>
    <t>7.1_p_Machines_3 formes de fin'!A1</t>
  </si>
  <si>
    <t>7.2_p_Batiments_3 formes de fin'!A1</t>
  </si>
  <si>
    <t>7.3_p_stocks_3 formes de fin'!A1</t>
  </si>
  <si>
    <t>7.4_recap_p_actifs'!A1</t>
  </si>
  <si>
    <t>7.5_p_dette'!A1</t>
  </si>
  <si>
    <t>7.6_p_RE'!A1</t>
  </si>
  <si>
    <t>7.7_p_NE'!A1</t>
  </si>
  <si>
    <t>7.8_Recap_p_forme de fin'!A1</t>
  </si>
  <si>
    <t>7.9_Recap_p'!A1</t>
  </si>
  <si>
    <t>8_Recap_coin fiscal'!A1</t>
  </si>
  <si>
    <t>10_Recap_EMTR'!A1</t>
  </si>
  <si>
    <t>11_Recapitulatif_Global'!A1</t>
  </si>
  <si>
    <t>12_Recap_par type d''invest'!A1</t>
  </si>
  <si>
    <t>13_Recap_par forme de fin'!A1</t>
  </si>
  <si>
    <t>Plan du fichier'!A1</t>
  </si>
  <si>
    <t>Variables représentative</t>
  </si>
  <si>
    <t>Taux d'intérêt réel</t>
  </si>
  <si>
    <t>r</t>
  </si>
  <si>
    <t>Taux d'inflation</t>
  </si>
  <si>
    <t>p</t>
  </si>
  <si>
    <t>Taux global effectif d'imposition du bénéfice des sociétés</t>
  </si>
  <si>
    <r>
      <t>t'</t>
    </r>
    <r>
      <rPr>
        <b/>
        <vertAlign val="subscript"/>
        <sz val="11"/>
        <rFont val="Arial"/>
        <family val="2"/>
      </rPr>
      <t>c</t>
    </r>
  </si>
  <si>
    <t>Taux d'impôt effectif grevant le capital pour un capital deux fois supérieur au bénéfice</t>
  </si>
  <si>
    <t>Taux légal d'imposition des gains en capital</t>
  </si>
  <si>
    <t>z</t>
  </si>
  <si>
    <t>Proportion des gains réalisés</t>
  </si>
  <si>
    <t>a</t>
  </si>
  <si>
    <t>Taux maximum d'imposition des dividendes</t>
  </si>
  <si>
    <r>
      <t>m</t>
    </r>
    <r>
      <rPr>
        <b/>
        <vertAlign val="subscript"/>
        <sz val="11"/>
        <rFont val="Arial"/>
        <family val="2"/>
      </rPr>
      <t>d</t>
    </r>
  </si>
  <si>
    <t>Taux d'imputation</t>
  </si>
  <si>
    <t>q</t>
  </si>
  <si>
    <t>Taux maximum d'imposition des interêts</t>
  </si>
  <si>
    <r>
      <t>m</t>
    </r>
    <r>
      <rPr>
        <b/>
        <vertAlign val="subscript"/>
        <sz val="11"/>
        <rFont val="Arial"/>
        <family val="2"/>
      </rPr>
      <t>i</t>
    </r>
  </si>
  <si>
    <t>Taux d'impôt sur la fortune des personnes physiques</t>
  </si>
  <si>
    <r>
      <t>w</t>
    </r>
    <r>
      <rPr>
        <b/>
        <vertAlign val="subscript"/>
        <sz val="11"/>
        <rFont val="Arial"/>
        <family val="2"/>
      </rPr>
      <t>p</t>
    </r>
  </si>
  <si>
    <t>Taux de déduction fiscale pour amortissement des bâtiments (dégressif)</t>
  </si>
  <si>
    <r>
      <t>d</t>
    </r>
    <r>
      <rPr>
        <b/>
        <vertAlign val="subscript"/>
        <sz val="10"/>
        <rFont val="Arial"/>
        <family val="2"/>
      </rPr>
      <t>b</t>
    </r>
  </si>
  <si>
    <t>Taux de déduction fiscale pour amortissement des machines (linéaire)</t>
  </si>
  <si>
    <r>
      <t>d</t>
    </r>
    <r>
      <rPr>
        <b/>
        <vertAlign val="subscript"/>
        <sz val="10"/>
        <rFont val="Arial"/>
        <family val="2"/>
      </rPr>
      <t>m</t>
    </r>
  </si>
  <si>
    <t>Taux d'amortissement économique pour les bâtiments</t>
  </si>
  <si>
    <r>
      <t>d</t>
    </r>
    <r>
      <rPr>
        <b/>
        <vertAlign val="subscript"/>
        <sz val="11"/>
        <rFont val="Symbol"/>
        <family val="1"/>
      </rPr>
      <t>B</t>
    </r>
  </si>
  <si>
    <t>Taux d'amortissement économique pour les machines</t>
  </si>
  <si>
    <r>
      <t>d</t>
    </r>
    <r>
      <rPr>
        <b/>
        <vertAlign val="subscript"/>
        <sz val="11"/>
        <rFont val="Symbol"/>
        <family val="1"/>
      </rPr>
      <t>M</t>
    </r>
  </si>
  <si>
    <t>Traitement fiscal des stocks</t>
  </si>
  <si>
    <t>v</t>
  </si>
  <si>
    <t>Nombre d'années d'abattement dans le cas linéraire</t>
  </si>
  <si>
    <t>N</t>
  </si>
  <si>
    <t>Coefficient de pondération pour le recours à l'emprunt</t>
  </si>
  <si>
    <r>
      <t>Weight</t>
    </r>
    <r>
      <rPr>
        <b/>
        <vertAlign val="subscript"/>
        <sz val="10"/>
        <rFont val="Arial"/>
        <family val="2"/>
      </rPr>
      <t>D</t>
    </r>
  </si>
  <si>
    <t>Coefficient de pondération pour les benéfices non distribués</t>
  </si>
  <si>
    <r>
      <t>Weight</t>
    </r>
    <r>
      <rPr>
        <b/>
        <vertAlign val="subscript"/>
        <sz val="10"/>
        <rFont val="Arial"/>
        <family val="2"/>
      </rPr>
      <t>RE</t>
    </r>
  </si>
  <si>
    <t>Coefficient de pondération pour les Emissions d'actions</t>
  </si>
  <si>
    <r>
      <t>Weight</t>
    </r>
    <r>
      <rPr>
        <b/>
        <vertAlign val="subscript"/>
        <sz val="10"/>
        <rFont val="Arial"/>
        <family val="2"/>
      </rPr>
      <t>NE</t>
    </r>
  </si>
  <si>
    <t>Coefficient de pondération pour les machines</t>
  </si>
  <si>
    <r>
      <t>Weight</t>
    </r>
    <r>
      <rPr>
        <b/>
        <vertAlign val="subscript"/>
        <sz val="10"/>
        <rFont val="Arial"/>
        <family val="2"/>
      </rPr>
      <t>M</t>
    </r>
  </si>
  <si>
    <t>Coefficient de pondération pour les bâtiments</t>
  </si>
  <si>
    <r>
      <t>Weight</t>
    </r>
    <r>
      <rPr>
        <b/>
        <vertAlign val="subscript"/>
        <sz val="10"/>
        <rFont val="Arial"/>
        <family val="2"/>
      </rPr>
      <t>B</t>
    </r>
  </si>
  <si>
    <t>Coefficient de pondération pour les stocks</t>
  </si>
  <si>
    <r>
      <t>Weight</t>
    </r>
    <r>
      <rPr>
        <b/>
        <vertAlign val="subscript"/>
        <sz val="10"/>
        <rFont val="Arial"/>
        <family val="2"/>
      </rPr>
      <t>S</t>
    </r>
  </si>
  <si>
    <t>Tableau 1.1 : Hypothèses pour le calcul des Taux Effectifs Marginaux d'imposition</t>
  </si>
  <si>
    <t>Principales Hypothèses spécifiques au modèle</t>
  </si>
  <si>
    <t>Cas d'un investissement local</t>
  </si>
  <si>
    <t>La formule du taux d'intérêt nominal est complète</t>
  </si>
  <si>
    <t>Le taux de rendement après impôt (s) se calcule avec ou sans la prise en compte de l'impôt sur la richesse des personnes physiques</t>
  </si>
  <si>
    <t>Le coût du capital (p) se calcule avec ou sans la prise en compte de l'impôt sur l'actif net des entreprises</t>
  </si>
  <si>
    <t>Le taux de rendement (s) est fixe pour tous le modèle_Cas de "s-fixed"</t>
  </si>
  <si>
    <t>Le taux effectif d'imposition des gains en capital et les valeurs actualisées des amortissements suivent une série de type géométrique</t>
  </si>
  <si>
    <t>Le coût du capital (p) varie notamment selon la forme de financement et l'actif investi</t>
  </si>
  <si>
    <t>Principales Hypothèses empiriques</t>
  </si>
  <si>
    <t>Indice des prix à la consommation_Source OFS</t>
  </si>
  <si>
    <t>Taux d'intérêt réel fixé</t>
  </si>
  <si>
    <t>Pas d'impôt sur les gains en capital au niveau des personnes physiques</t>
  </si>
  <si>
    <t>Taux d'impôt maximal sur le revenu des personnes physiques</t>
  </si>
  <si>
    <t>Taux d'impôt maximal (déductions comprises ou non)  sur le revenu des sociétés pour un taux de rendement de 50%</t>
  </si>
  <si>
    <t>Amortissement dégressif pour les machines</t>
  </si>
  <si>
    <t>Amortissement linéaire pour les bâtiments</t>
  </si>
  <si>
    <t>Méthode LIFO pour les stocks</t>
  </si>
  <si>
    <t>Coefficients de pondération fixes pour les trois types de financement</t>
  </si>
  <si>
    <t>Coefficients de pondération fixes pour les trois types d'actifs physiques</t>
  </si>
  <si>
    <t>Tableau 1.2 : Les principales variables utilisées et les étapes du calcul</t>
  </si>
  <si>
    <t>Paramétres</t>
  </si>
  <si>
    <t>Numérotation des variables et dépendance</t>
  </si>
  <si>
    <t>Variables représentatives</t>
  </si>
  <si>
    <t>Fixe ou non</t>
  </si>
  <si>
    <t>Commentaires</t>
  </si>
  <si>
    <t xml:space="preserve">Taux d'intérêt réel </t>
  </si>
  <si>
    <t>Fixe</t>
  </si>
  <si>
    <t>Hypothése</t>
  </si>
  <si>
    <t>Suit l'IPC (Indice des Prix à la Consommation)</t>
  </si>
  <si>
    <t>Taux d'intérêt nominal</t>
  </si>
  <si>
    <t>3                                      (de 1 et 2)</t>
  </si>
  <si>
    <t>i</t>
  </si>
  <si>
    <t>Varie</t>
  </si>
  <si>
    <t>Suit l'IPC</t>
  </si>
  <si>
    <t>Taux d'impôt sur les intérêts</t>
  </si>
  <si>
    <t>Maximal</t>
  </si>
  <si>
    <t>D'autres cas pourraient être envisagés</t>
  </si>
  <si>
    <t>Taux de rendement réel après impôt</t>
  </si>
  <si>
    <t>s</t>
  </si>
  <si>
    <t>Hypothèse de s fixe, avec différentes valeurs de s selon le taux d'intérêt nominal</t>
  </si>
  <si>
    <t>Taux d'impôt sur les sociétés</t>
  </si>
  <si>
    <r>
      <t>t'</t>
    </r>
    <r>
      <rPr>
        <b/>
        <vertAlign val="subscript"/>
        <sz val="11"/>
        <rFont val="Arial"/>
        <family val="2"/>
      </rPr>
      <t>c</t>
    </r>
  </si>
  <si>
    <t>"Fixe"</t>
  </si>
  <si>
    <t>Pour un taux de rendement des sociétés de 50%</t>
  </si>
  <si>
    <t>Taux d'impôt sur les dividendes</t>
  </si>
  <si>
    <t>10% (Proportion d'actions vendues par l'actionnaire à chaque période)</t>
  </si>
  <si>
    <t>Taux d'impôt statutaire (légal) sur les gains en capital</t>
  </si>
  <si>
    <t>1 valeur</t>
  </si>
  <si>
    <t>Pas d'impôts sur les gains en capital</t>
  </si>
  <si>
    <t>Taux d'impôt effectif sur les gains en capital</t>
  </si>
  <si>
    <t>z'</t>
  </si>
  <si>
    <t>Dans le modèle z' est nul par hypothèse</t>
  </si>
  <si>
    <t>Taux d'escompte</t>
  </si>
  <si>
    <r>
      <t>r</t>
    </r>
    <r>
      <rPr>
        <b/>
        <vertAlign val="subscript"/>
        <sz val="11"/>
        <rFont val="Helvetica"/>
        <family val="2"/>
      </rPr>
      <t>C</t>
    </r>
  </si>
  <si>
    <t>3 valeurs</t>
  </si>
  <si>
    <t>Selon les 3 formes de financement</t>
  </si>
  <si>
    <t>Taux de déduction fiscale au titre des amortissements sur une base dégressive (machines)  ou linéaire (bâtiment)</t>
  </si>
  <si>
    <t>d</t>
  </si>
  <si>
    <t>2 valeurs</t>
  </si>
  <si>
    <t>Selon les 2 types d'actifs (Machines, bâtiments industriels). Les stocks ne font pas l'objet d'abattements.</t>
  </si>
  <si>
    <t>Valeur actuelle des déductions pour amortissement</t>
  </si>
  <si>
    <t>A</t>
  </si>
  <si>
    <t>6 valeurs</t>
  </si>
  <si>
    <t>Selon les 3 formes de financements, et les deux types d'investissement (Bâtiment et machine)</t>
  </si>
  <si>
    <t>Taux d'amortissement économique des actifs</t>
  </si>
  <si>
    <t xml:space="preserve">2 valeurs </t>
  </si>
  <si>
    <t>Selon les deux types d'investissement (Bâtiments et machines)</t>
  </si>
  <si>
    <t>Taux de rendement réel avant impôt                                     (Coût du capital)</t>
  </si>
  <si>
    <t>16 valeurs</t>
  </si>
  <si>
    <t>4 par type d'investissement                                                      4 par type de financement</t>
  </si>
  <si>
    <t xml:space="preserve">Coin fiscal  </t>
  </si>
  <si>
    <t>W = p-s</t>
  </si>
  <si>
    <t>Taux effectif marginal d'imposition</t>
  </si>
  <si>
    <t>EMTR = (p-s)/p</t>
  </si>
  <si>
    <t>Tableau 3 : Calcul du taux d’intérét nominal i</t>
  </si>
  <si>
    <t>Variables</t>
  </si>
  <si>
    <t>Tableau 4: Calcul du taux de rendement réel après impôt pour l’épargnant (s)</t>
  </si>
  <si>
    <t>mi</t>
  </si>
  <si>
    <t>ZH</t>
  </si>
  <si>
    <t xml:space="preserve">Calcul des Taux Effectifs Marginaux d'imposition </t>
  </si>
  <si>
    <t>Cas effectif (avec imposition de la fortune et de l'actif net)</t>
  </si>
  <si>
    <t>Numéro de tableau</t>
  </si>
  <si>
    <t>Thèmes</t>
  </si>
  <si>
    <t>Liens dans le fichier</t>
  </si>
  <si>
    <t>Les pricipales hypothèses thèoriques et empiriques</t>
  </si>
  <si>
    <t>1.1_Hypothèses'!A1</t>
  </si>
  <si>
    <t>Vue d'ensemble des étapes du calcul</t>
  </si>
  <si>
    <t>1.2_Etapes'!A1</t>
  </si>
  <si>
    <t>Les données sources utilisées dans les calculs</t>
  </si>
  <si>
    <t>Calcul du taux d'intérêt nominal</t>
  </si>
  <si>
    <t>3_Calcul de i'!A1</t>
  </si>
  <si>
    <t>Calcul du taux de rendement réel après impôt (s)</t>
  </si>
  <si>
    <t>4_Calcul de s'!A1</t>
  </si>
  <si>
    <t>Calcul du taux d'impôt effectif sur les gains en capital (z')</t>
  </si>
  <si>
    <t>5.1_Calcul de Z effectif'!A1</t>
  </si>
  <si>
    <t>Calcul du taux d'escompte de la dette</t>
  </si>
  <si>
    <t>5.2_Tx d'escompte_dette'!A1</t>
  </si>
  <si>
    <t>2_BDD_Effectif_IF_IAN'!A1</t>
  </si>
  <si>
    <t>Tableau 5.1: Calcul du taux effectif d'imposition grevant les gains en capital z'</t>
  </si>
  <si>
    <t>Taux d'impôt légal sur les gains en capital</t>
  </si>
  <si>
    <t>Taux d'actualisation pour les actionnaires</t>
  </si>
  <si>
    <t>j</t>
  </si>
  <si>
    <t>Taux d'imposition effectif sur les gains en capital</t>
  </si>
  <si>
    <t>Tableau 5.2: Calcul du taux d'escompte de l'endettement</t>
  </si>
  <si>
    <t>Taux d'impôt grevant le capital pour un capital deux fois supérieur au bénéfice</t>
  </si>
  <si>
    <t>Taux d'escompte de la dette</t>
  </si>
  <si>
    <r>
      <t>r</t>
    </r>
    <r>
      <rPr>
        <b/>
        <vertAlign val="superscript"/>
        <sz val="11"/>
        <rFont val="Helvetica"/>
        <family val="2"/>
      </rPr>
      <t>D</t>
    </r>
  </si>
  <si>
    <t>Tableau 5.3 : Calcul des taux d'escompte pour les bénéfices retenus</t>
  </si>
  <si>
    <t>Taux d'escompte sur les bénéfices retenus</t>
  </si>
  <si>
    <r>
      <t>r</t>
    </r>
    <r>
      <rPr>
        <b/>
        <vertAlign val="superscript"/>
        <sz val="11"/>
        <rFont val="Helvetica"/>
        <family val="2"/>
      </rPr>
      <t>RE</t>
    </r>
  </si>
  <si>
    <t>Tableau 5.4: Calcul des taux d'escompte pour l'augmentation de capital. Méthode 1</t>
  </si>
  <si>
    <t>Variable de discrimination fiscale</t>
  </si>
  <si>
    <t>g</t>
  </si>
  <si>
    <t>Taux d'escompte sur les bénéfices distribués Formule 1</t>
  </si>
  <si>
    <r>
      <t>r</t>
    </r>
    <r>
      <rPr>
        <b/>
        <vertAlign val="superscript"/>
        <sz val="11"/>
        <rFont val="Helvetica"/>
        <family val="2"/>
      </rPr>
      <t>NE</t>
    </r>
  </si>
  <si>
    <t>Tableau 5.5: Calcul des taux d'escompte pour l'augmentation de capital</t>
  </si>
  <si>
    <t>Taux d'escompte sur les bénéfices distribués Formule 2</t>
  </si>
  <si>
    <t>Tableau 5.6: Récapitulatif des trois taux d'escompte</t>
  </si>
  <si>
    <t>Taux d'escompte sur les bénéfices distribués</t>
  </si>
  <si>
    <t>A_Machines</t>
  </si>
  <si>
    <t>Tableau 6.1: Calcul de la valeur actualisée des déductions au titre de l'amortissement des machines</t>
  </si>
  <si>
    <t>Paramétres utilisés dans la formule</t>
  </si>
  <si>
    <t>Taux de déduction fiscale pour les machines</t>
  </si>
  <si>
    <t>Type de déduction pour les machines</t>
  </si>
  <si>
    <t>Dégressive ou linéaire</t>
  </si>
  <si>
    <t>D</t>
  </si>
  <si>
    <t>Taux d'escompte pour l'endettement</t>
  </si>
  <si>
    <t>Taux d'escompte des bénéfices retenus</t>
  </si>
  <si>
    <t>Taux d'escompte des augmentations de capital</t>
  </si>
  <si>
    <t>Amortissement des machines par forme de financement</t>
  </si>
  <si>
    <t>Valeur actualisée des déductions au titre de l'amortissement des machines (Endettement)</t>
  </si>
  <si>
    <r>
      <t>A</t>
    </r>
    <r>
      <rPr>
        <b/>
        <vertAlign val="subscript"/>
        <sz val="11"/>
        <rFont val="Helvetica"/>
        <family val="2"/>
      </rPr>
      <t>MD</t>
    </r>
  </si>
  <si>
    <t>Valeur actualisée des déductions au titre de l'amortissement des machines (Bénéfices Retenus)</t>
  </si>
  <si>
    <r>
      <t>A</t>
    </r>
    <r>
      <rPr>
        <b/>
        <vertAlign val="subscript"/>
        <sz val="11"/>
        <rFont val="Helvetica"/>
        <family val="2"/>
      </rPr>
      <t>MRE</t>
    </r>
  </si>
  <si>
    <t>Valeur actualisée des déductions au titre de l'amortissement des machines                               (Augmentation de Capital)</t>
  </si>
  <si>
    <r>
      <t>A</t>
    </r>
    <r>
      <rPr>
        <b/>
        <vertAlign val="subscript"/>
        <sz val="11"/>
        <rFont val="Helvetica"/>
        <family val="2"/>
      </rPr>
      <t>NE</t>
    </r>
  </si>
  <si>
    <t>A_Bâtiments</t>
  </si>
  <si>
    <t>Tableau 6.2: Calcul de la valeur actualisée des déductions au titre de l'amortissement des bâtiments</t>
  </si>
  <si>
    <t>Taux de déduction fiscale pour les bâtiments</t>
  </si>
  <si>
    <t>Type de déduction pour les bâtiments</t>
  </si>
  <si>
    <t>L</t>
  </si>
  <si>
    <t>Nombre d'années d'abattement dans le cas linéaire</t>
  </si>
  <si>
    <t>Amortissement des bâtiments par forme de financement</t>
  </si>
  <si>
    <t>Valeur actualisée des déductions au titre de l'amortissement des bâtiments (Endettement)</t>
  </si>
  <si>
    <r>
      <t>A</t>
    </r>
    <r>
      <rPr>
        <b/>
        <vertAlign val="subscript"/>
        <sz val="11"/>
        <rFont val="Helvetica"/>
        <family val="2"/>
      </rPr>
      <t>BD</t>
    </r>
  </si>
  <si>
    <t>Valeur actualisée des déductions au titre de l'amortissement des bâtiments (Bénéfices Retenus)</t>
  </si>
  <si>
    <r>
      <t>A</t>
    </r>
    <r>
      <rPr>
        <b/>
        <vertAlign val="subscript"/>
        <sz val="11"/>
        <rFont val="Helvetica"/>
        <family val="2"/>
      </rPr>
      <t>BRE</t>
    </r>
  </si>
  <si>
    <t>Valeur actualisée des déductions au titre de l'amortissement des bâtiments (Augmentation de Capital)</t>
  </si>
  <si>
    <r>
      <t>A</t>
    </r>
    <r>
      <rPr>
        <b/>
        <vertAlign val="subscript"/>
        <sz val="11"/>
        <rFont val="Helvetica"/>
        <family val="2"/>
      </rPr>
      <t>BNE</t>
    </r>
  </si>
  <si>
    <t>Tableau 7: Récapitulatif des étapes du calcul de p</t>
  </si>
  <si>
    <t>Actifs physiques</t>
  </si>
  <si>
    <t>Etape 1</t>
  </si>
  <si>
    <t>Tableau 7.1</t>
  </si>
  <si>
    <t xml:space="preserve">  Calcul du coût de capital pour les machines selon les trois formes de financement</t>
  </si>
  <si>
    <t>Etape 2</t>
  </si>
  <si>
    <t>Tableau 7.2</t>
  </si>
  <si>
    <t xml:space="preserve">  Calcul du coût de capital pour les bâtiments selon les trois formes de financement</t>
  </si>
  <si>
    <t>Etape 3</t>
  </si>
  <si>
    <t>Tableau 7.3</t>
  </si>
  <si>
    <t xml:space="preserve">  Calcul du coût de capital pour les stocks selon les trois formes de financement</t>
  </si>
  <si>
    <t>Etape 4</t>
  </si>
  <si>
    <t>Tableau 7.4</t>
  </si>
  <si>
    <t xml:space="preserve">  Calcul du coût global du capital d'après les données des coûts par type d'actifs physiques (7.1 à 7.3)</t>
  </si>
  <si>
    <t>Formes de financement</t>
  </si>
  <si>
    <t>Etape 5</t>
  </si>
  <si>
    <t>Tableau 7.5</t>
  </si>
  <si>
    <t xml:space="preserve">  Calcul du coût de capital pour la dette</t>
  </si>
  <si>
    <t>Etape 6</t>
  </si>
  <si>
    <t>Tableau 7.6</t>
  </si>
  <si>
    <t xml:space="preserve">  Calcul du coût de capital pour les bénéfices retenus</t>
  </si>
  <si>
    <t>Etape 7</t>
  </si>
  <si>
    <t>Tableau 7.7</t>
  </si>
  <si>
    <t xml:space="preserve">  Calcul du coût de capital pour l'augmentation du capital</t>
  </si>
  <si>
    <t>Etape 8</t>
  </si>
  <si>
    <t>Tableau 7.8</t>
  </si>
  <si>
    <t xml:space="preserve">  Calcul du coût global de capital d'après les données des coûts par type de financement (7.5 à 7.7)</t>
  </si>
  <si>
    <t>Actifs physiques et formes de financement</t>
  </si>
  <si>
    <t>Etape 9</t>
  </si>
  <si>
    <t>Tableau 7.9</t>
  </si>
  <si>
    <t xml:space="preserve">  Récapitulatif des différents coûts de capital</t>
  </si>
  <si>
    <t>p_Machines</t>
  </si>
  <si>
    <t>Tableau 7.1: Calcul du coût de capital pour les machines d'après les types de financement</t>
  </si>
  <si>
    <t xml:space="preserve">Taux d'escompte sur les bénéfices distribués </t>
  </si>
  <si>
    <r>
      <t>t</t>
    </r>
    <r>
      <rPr>
        <b/>
        <vertAlign val="subscript"/>
        <sz val="11"/>
        <rFont val="Arial"/>
        <family val="2"/>
      </rPr>
      <t>c</t>
    </r>
  </si>
  <si>
    <r>
      <t>t</t>
    </r>
    <r>
      <rPr>
        <b/>
        <vertAlign val="subscript"/>
        <sz val="10"/>
        <rFont val="Times New Roman"/>
        <family val="1"/>
      </rPr>
      <t>2k</t>
    </r>
  </si>
  <si>
    <t>Valeur actualisée des déductions au titre de l'amortissement des machines (Dette)</t>
  </si>
  <si>
    <t>Valeur actualisée des déductions au titre de l'amortissement des machines (Bénéfices retenus)</t>
  </si>
  <si>
    <t>Valeur actualisée des déductions au titre de l'amortissement des machines (Augmentation de capital)</t>
  </si>
  <si>
    <t>Taux d'amortissement économique du capital pour les machines</t>
  </si>
  <si>
    <r>
      <t>d</t>
    </r>
    <r>
      <rPr>
        <b/>
        <vertAlign val="subscript"/>
        <sz val="11"/>
        <rFont val="Helvetica"/>
        <family val="2"/>
      </rPr>
      <t>M</t>
    </r>
  </si>
  <si>
    <t>Les 3 Coûts du capital pour les machines par type de financement</t>
  </si>
  <si>
    <t>Coût du capital pour les machines (Emprunt)</t>
  </si>
  <si>
    <r>
      <t>p</t>
    </r>
    <r>
      <rPr>
        <b/>
        <vertAlign val="subscript"/>
        <sz val="11"/>
        <rFont val="Helvetica"/>
        <family val="2"/>
      </rPr>
      <t>MD</t>
    </r>
  </si>
  <si>
    <t>Coût du capital pour les machines (Bénéfices non distribués)</t>
  </si>
  <si>
    <r>
      <t>p</t>
    </r>
    <r>
      <rPr>
        <b/>
        <vertAlign val="subscript"/>
        <sz val="11"/>
        <rFont val="Helvetica"/>
        <family val="2"/>
      </rPr>
      <t>MRE</t>
    </r>
  </si>
  <si>
    <t>Coût du capital pour les machines (Augmentation de capital)</t>
  </si>
  <si>
    <r>
      <t>p</t>
    </r>
    <r>
      <rPr>
        <b/>
        <vertAlign val="subscript"/>
        <sz val="11"/>
        <rFont val="Helvetica"/>
        <family val="2"/>
      </rPr>
      <t>MNE</t>
    </r>
  </si>
  <si>
    <t>Coefficients de pondération</t>
  </si>
  <si>
    <t>Emprunt</t>
  </si>
  <si>
    <t>Bénéfices non distribués</t>
  </si>
  <si>
    <t>Augmentation de capital</t>
  </si>
  <si>
    <t xml:space="preserve">Résultat du coût du capital pour les machines </t>
  </si>
  <si>
    <t>Coût du capital pour les machines                                                                             (pondéré selon les formes de financement)</t>
  </si>
  <si>
    <r>
      <t>p</t>
    </r>
    <r>
      <rPr>
        <b/>
        <vertAlign val="subscript"/>
        <sz val="11"/>
        <rFont val="Helvetica"/>
        <family val="2"/>
      </rPr>
      <t>M</t>
    </r>
  </si>
  <si>
    <t>A_Actifs physiques</t>
  </si>
  <si>
    <t>Tableau 6.3: Récapitulatif des valeurs actualisées des déductions pour amortissement</t>
  </si>
  <si>
    <t>Valeur actualisée des déductions au titre de l'amortissement des machines                         (Endettement)</t>
  </si>
  <si>
    <t>Valeur actualisée des déductions au titre de l'amortissement des machines                        (Bénéfices Retenus)</t>
  </si>
  <si>
    <t>Valeur actualisée des déductions au titre de l'amortissement des bâtiments                         (Endettement)</t>
  </si>
  <si>
    <t>Valeur actualisée des déductions au titre de l'amortissement des bâtiments                         (Bénéfices Retenus)</t>
  </si>
  <si>
    <t>Valeur actualisée des déductions au titre de l'amortissement des bâtiments                                                 (Augmentation de Capital)</t>
  </si>
  <si>
    <t>p_Bâtiments</t>
  </si>
  <si>
    <t>Tableau 7.2: Calcul du coût de capital pour les bâtiments</t>
  </si>
  <si>
    <t>Valeur actualisée des déductions au titre de l'amortissement des bâtiments                  (Dettes)</t>
  </si>
  <si>
    <t>Valeur actualisée des déductions au titre de l'amortissement des bâtiments (Augmentation de capital)</t>
  </si>
  <si>
    <t>Taux d'amortissement économique du capital pour les bâtiments</t>
  </si>
  <si>
    <r>
      <t>d</t>
    </r>
    <r>
      <rPr>
        <b/>
        <vertAlign val="subscript"/>
        <sz val="11"/>
        <rFont val="Helvetica"/>
        <family val="2"/>
      </rPr>
      <t>B</t>
    </r>
  </si>
  <si>
    <t>Les 3 Coûts du capital pour les bâtiments par type de financement</t>
  </si>
  <si>
    <t>Coût du capital pour les bâtiments (Emprunt)</t>
  </si>
  <si>
    <r>
      <t>p</t>
    </r>
    <r>
      <rPr>
        <b/>
        <vertAlign val="subscript"/>
        <sz val="11"/>
        <rFont val="Helvetica"/>
        <family val="2"/>
      </rPr>
      <t>BD</t>
    </r>
  </si>
  <si>
    <t>Coût du capital pour les bâtiments (Bénéfices non Distribués)</t>
  </si>
  <si>
    <r>
      <t>p</t>
    </r>
    <r>
      <rPr>
        <b/>
        <vertAlign val="subscript"/>
        <sz val="11"/>
        <rFont val="Helvetica"/>
        <family val="2"/>
      </rPr>
      <t>BRE</t>
    </r>
  </si>
  <si>
    <t>Coût du capital  pour les bâtiments (Augmentations de Capital)</t>
  </si>
  <si>
    <r>
      <t>p</t>
    </r>
    <r>
      <rPr>
        <b/>
        <vertAlign val="subscript"/>
        <sz val="11"/>
        <rFont val="Helvetica"/>
        <family val="2"/>
      </rPr>
      <t>BNE</t>
    </r>
  </si>
  <si>
    <t>Coût du capital pour les bâtiments (pondéré selon les formes de financement)</t>
  </si>
  <si>
    <r>
      <t>p</t>
    </r>
    <r>
      <rPr>
        <b/>
        <vertAlign val="subscript"/>
        <sz val="11"/>
        <rFont val="Helvetica"/>
        <family val="2"/>
      </rPr>
      <t>B</t>
    </r>
  </si>
  <si>
    <t>p_Stocks</t>
  </si>
  <si>
    <t>Tableau 7.3: Calcul du coût de capital pour les stocks</t>
  </si>
  <si>
    <t>Les 3 Coûts du capital pour les stocks par type de financement</t>
  </si>
  <si>
    <t>Cout du capital pour les stocks (Dettes)</t>
  </si>
  <si>
    <r>
      <t>p</t>
    </r>
    <r>
      <rPr>
        <b/>
        <vertAlign val="subscript"/>
        <sz val="11"/>
        <rFont val="Helvetica"/>
        <family val="2"/>
      </rPr>
      <t>SD</t>
    </r>
  </si>
  <si>
    <t>Coût du capital pour les stocks (Bénéfices retenus)</t>
  </si>
  <si>
    <r>
      <t>p</t>
    </r>
    <r>
      <rPr>
        <b/>
        <vertAlign val="subscript"/>
        <sz val="11"/>
        <rFont val="Arial"/>
        <family val="2"/>
      </rPr>
      <t>S</t>
    </r>
    <r>
      <rPr>
        <b/>
        <vertAlign val="subscript"/>
        <sz val="11"/>
        <rFont val="Helvetica"/>
        <family val="2"/>
      </rPr>
      <t>RE</t>
    </r>
  </si>
  <si>
    <t>Coût du capital pour les stocks (Augmentation de capital)</t>
  </si>
  <si>
    <r>
      <t>p</t>
    </r>
    <r>
      <rPr>
        <b/>
        <vertAlign val="subscript"/>
        <sz val="11"/>
        <rFont val="Arial"/>
        <family val="2"/>
      </rPr>
      <t>S</t>
    </r>
    <r>
      <rPr>
        <b/>
        <vertAlign val="subscript"/>
        <sz val="11"/>
        <rFont val="Helvetica"/>
        <family val="2"/>
      </rPr>
      <t>NE</t>
    </r>
  </si>
  <si>
    <t>Résultat du coût global du capital pour les stocks</t>
  </si>
  <si>
    <t>Coût global du capital pour les stocks                                                   (pondéré selon les formes de financement)</t>
  </si>
  <si>
    <r>
      <t>p</t>
    </r>
    <r>
      <rPr>
        <b/>
        <vertAlign val="subscript"/>
        <sz val="11"/>
        <rFont val="Helvetica"/>
        <family val="2"/>
      </rPr>
      <t>S</t>
    </r>
  </si>
  <si>
    <t>p_Actifs physiques</t>
  </si>
  <si>
    <t>Tableau 7.4: Calcul du coût de capital d'après les données des actifs physiques</t>
  </si>
  <si>
    <t>Les 3 Coûts du capital pour les actifs physiques</t>
  </si>
  <si>
    <t>Coût global du capital pour les machines</t>
  </si>
  <si>
    <t>Coût global du capital pour les bâtiments</t>
  </si>
  <si>
    <t>Coût global du capital pour les stocks</t>
  </si>
  <si>
    <t>Machines</t>
  </si>
  <si>
    <t>Bâtiments</t>
  </si>
  <si>
    <t>Stocks</t>
  </si>
  <si>
    <t>Résultat du coût global du capital pour l'ensemble des actifs physiques</t>
  </si>
  <si>
    <t>Coût global du capital toutes formes d'actifs confondues (pondération par les coefficients de pondération des actifs physiques)</t>
  </si>
  <si>
    <t>p_Emprunt</t>
  </si>
  <si>
    <t>Tableau 7.5: Calcul du coût de capital pour l'endettement</t>
  </si>
  <si>
    <t>Le coût du capital pour l'endettement par type d'actif physique</t>
  </si>
  <si>
    <t>Coût du capital pour les stocks                         (Emprunt)</t>
  </si>
  <si>
    <t>Coefficients de pondération des actifs physiques</t>
  </si>
  <si>
    <t>Résultat du coût global du capital en cas d'emprunt</t>
  </si>
  <si>
    <t>Coût global du capital pour l'emprunt (pondéré selon les coefficient de pondération des actifs)</t>
  </si>
  <si>
    <r>
      <t>p</t>
    </r>
    <r>
      <rPr>
        <b/>
        <vertAlign val="subscript"/>
        <sz val="11"/>
        <rFont val="Helvetica"/>
        <family val="2"/>
      </rPr>
      <t>D</t>
    </r>
  </si>
  <si>
    <t>p_RE</t>
  </si>
  <si>
    <t>Tableau 7.6: Calcul du coût de capital pour les Bénéfices Retenus</t>
  </si>
  <si>
    <t>Le coût du capital en cas de bénéfices non distribués par type d'actif physique</t>
  </si>
  <si>
    <t>Coût du capital pour les machines                     (Bénéfices non distribués)</t>
  </si>
  <si>
    <t>Coût du capital pour les bâtiments (Bénéfices non distribués)</t>
  </si>
  <si>
    <t>Coût du capital pour les stocks                      (Bénéfices non distribués)</t>
  </si>
  <si>
    <r>
      <t>p</t>
    </r>
    <r>
      <rPr>
        <b/>
        <vertAlign val="subscript"/>
        <sz val="11"/>
        <rFont val="Helvetica"/>
        <family val="2"/>
      </rPr>
      <t>RE</t>
    </r>
  </si>
  <si>
    <t>Résultat du coût global du capital en cas de bénéfices non distribués</t>
  </si>
  <si>
    <t>Coût global du capital pour les Bénéfices Retenus (pondéré selon les coefficients de pondération des actifs)</t>
  </si>
  <si>
    <t>p_NE</t>
  </si>
  <si>
    <t>Tableau 7.7: Calcul du coût de capital pour l'augmentation de capital</t>
  </si>
  <si>
    <t>Le coût du capital en cas d'émission d'actions par type d'actif physique</t>
  </si>
  <si>
    <t>Coût du capital pour les machines                              (Augmentation de capital)</t>
  </si>
  <si>
    <t>Coût du capital  pour les bâtiments                             (Augmentation de capital)</t>
  </si>
  <si>
    <t>Coût du capital pour les stocks                                    (Augmentation de capital)</t>
  </si>
  <si>
    <r>
      <t>p</t>
    </r>
    <r>
      <rPr>
        <b/>
        <vertAlign val="subscript"/>
        <sz val="11"/>
        <rFont val="Helvetica"/>
        <family val="2"/>
      </rPr>
      <t>NE</t>
    </r>
  </si>
  <si>
    <t>Résultat du coût global du capital en cas d'émission d'actions</t>
  </si>
  <si>
    <t>Coût global du capital pour l'Augmentation de Capital (pondéré selon les coefficients de pondération des actifs)</t>
  </si>
  <si>
    <t>p_Type de financement</t>
  </si>
  <si>
    <t>Tableau 7.8 :Calcul du coût global du capital d'après les données des formes de financement</t>
  </si>
  <si>
    <t>Le coût du capital selon le type de financement</t>
  </si>
  <si>
    <t>Coût global du capital pour les Dettes</t>
  </si>
  <si>
    <t>Coût global du capital pour les Bénéfices Retenus</t>
  </si>
  <si>
    <t>Coût global du capital pour l'Augmentation de Capital</t>
  </si>
  <si>
    <t>Coefficients de pondération des formes de financement</t>
  </si>
  <si>
    <t>Résultat du coût global du capital</t>
  </si>
  <si>
    <t>Coût global du capital toutes formes de financement confondues (pondération par les coefficients de pondération des formes de financement)</t>
  </si>
  <si>
    <t>Tableau 7.9: Récapitulatif des différents coûts de capital</t>
  </si>
  <si>
    <t>Le coût du capital des machines par type de financement</t>
  </si>
  <si>
    <t>Le coût du capital des bâtiments par type de financement</t>
  </si>
  <si>
    <t>Coût du capital  pour les bâtiments (Augmentations de capital)</t>
  </si>
  <si>
    <t>Le coût du capital des stocks par type de financement</t>
  </si>
  <si>
    <t>Coût du capital pour les stocks (Emprunt)</t>
  </si>
  <si>
    <t>Le coût du capital de chaque type d'actif</t>
  </si>
  <si>
    <t>Coût global du capital toutes formes d'actifs confondues</t>
  </si>
  <si>
    <t>Le coût du capital de chaque type de financement</t>
  </si>
  <si>
    <t>Coût global du capital toutes formes de financement confondues</t>
  </si>
  <si>
    <t xml:space="preserve">A comparer avec le : </t>
  </si>
  <si>
    <t>c</t>
  </si>
  <si>
    <t>Tableau 8: Récapitulatif des différents coins fiscaux</t>
  </si>
  <si>
    <t>Le coin fiscal des machines par type de financement</t>
  </si>
  <si>
    <t>Coin fiscal du capital pour les machines (Emprunt)</t>
  </si>
  <si>
    <r>
      <t>c</t>
    </r>
    <r>
      <rPr>
        <b/>
        <vertAlign val="subscript"/>
        <sz val="11"/>
        <rFont val="Helvetica"/>
        <family val="2"/>
      </rPr>
      <t>MD</t>
    </r>
  </si>
  <si>
    <t>Coin fiscal du capital pour les machines (Bénéfices non distribués)</t>
  </si>
  <si>
    <r>
      <t>c</t>
    </r>
    <r>
      <rPr>
        <b/>
        <vertAlign val="subscript"/>
        <sz val="11"/>
        <rFont val="Helvetica"/>
        <family val="2"/>
      </rPr>
      <t>MRE</t>
    </r>
  </si>
  <si>
    <t>Coin fiscal du capital pour les machines (Augmentation de capital)</t>
  </si>
  <si>
    <r>
      <t>c</t>
    </r>
    <r>
      <rPr>
        <b/>
        <vertAlign val="subscript"/>
        <sz val="11"/>
        <rFont val="Helvetica"/>
        <family val="2"/>
      </rPr>
      <t>MNE</t>
    </r>
  </si>
  <si>
    <t>Le coin fiscal  des bâtiments par type de financement</t>
  </si>
  <si>
    <t>Coin fiscal du capital pour les bâtiments (Emprunt)</t>
  </si>
  <si>
    <r>
      <t>c</t>
    </r>
    <r>
      <rPr>
        <b/>
        <vertAlign val="subscript"/>
        <sz val="11"/>
        <rFont val="Helvetica"/>
        <family val="2"/>
      </rPr>
      <t>BD</t>
    </r>
  </si>
  <si>
    <t>Coin fiscal du capital pour les bâtiments (Bénéfices non distribués)</t>
  </si>
  <si>
    <r>
      <t>c</t>
    </r>
    <r>
      <rPr>
        <b/>
        <vertAlign val="subscript"/>
        <sz val="11"/>
        <rFont val="Helvetica"/>
        <family val="2"/>
      </rPr>
      <t>BRE</t>
    </r>
  </si>
  <si>
    <t>Coin fiscal du capital  pour les bâtiments (Augmentation de capital)</t>
  </si>
  <si>
    <r>
      <t>c</t>
    </r>
    <r>
      <rPr>
        <b/>
        <vertAlign val="subscript"/>
        <sz val="11"/>
        <rFont val="Helvetica"/>
        <family val="2"/>
      </rPr>
      <t>BNE</t>
    </r>
  </si>
  <si>
    <t>Le coin fiscal des stocks par type de financement</t>
  </si>
  <si>
    <t>Coin fiscal du capital pour les stocks (Emprunt)</t>
  </si>
  <si>
    <r>
      <t>c</t>
    </r>
    <r>
      <rPr>
        <b/>
        <vertAlign val="subscript"/>
        <sz val="11"/>
        <rFont val="Helvetica"/>
        <family val="2"/>
      </rPr>
      <t>SD</t>
    </r>
  </si>
  <si>
    <t>Coin fiscal du capital pour les stocks (Bénéfices retenus)</t>
  </si>
  <si>
    <r>
      <t>c</t>
    </r>
    <r>
      <rPr>
        <b/>
        <vertAlign val="subscript"/>
        <sz val="11"/>
        <rFont val="Helvetica"/>
        <family val="2"/>
      </rPr>
      <t>RE</t>
    </r>
  </si>
  <si>
    <t>Coin fiscal du capital pour les stocks (Augmentation de capital)</t>
  </si>
  <si>
    <r>
      <t>c</t>
    </r>
    <r>
      <rPr>
        <b/>
        <vertAlign val="subscript"/>
        <sz val="11"/>
        <rFont val="Helvetica"/>
        <family val="2"/>
      </rPr>
      <t>NE</t>
    </r>
  </si>
  <si>
    <t>Le coin fiscal  du capital de chaque type d'actif</t>
  </si>
  <si>
    <t>Coin fiscal global du capital pour les machines</t>
  </si>
  <si>
    <r>
      <t>c</t>
    </r>
    <r>
      <rPr>
        <b/>
        <vertAlign val="subscript"/>
        <sz val="11"/>
        <rFont val="Helvetica"/>
        <family val="2"/>
      </rPr>
      <t>M</t>
    </r>
  </si>
  <si>
    <t>Coin fiscal global du capital pour les bâtiments</t>
  </si>
  <si>
    <r>
      <t>c</t>
    </r>
    <r>
      <rPr>
        <b/>
        <vertAlign val="subscript"/>
        <sz val="11"/>
        <rFont val="Helvetica"/>
        <family val="2"/>
      </rPr>
      <t>B</t>
    </r>
  </si>
  <si>
    <t>Coin fiscal global du capital pour les stocks</t>
  </si>
  <si>
    <r>
      <t>c</t>
    </r>
    <r>
      <rPr>
        <b/>
        <vertAlign val="subscript"/>
        <sz val="11"/>
        <rFont val="Helvetica"/>
        <family val="2"/>
      </rPr>
      <t>S</t>
    </r>
  </si>
  <si>
    <t>Coin fiscal global du capital toutes formes d'actifs confondues</t>
  </si>
  <si>
    <t>Le coin fiscal du capital de chaque type de financement</t>
  </si>
  <si>
    <t>Coin fiscal global du capital pour les Dettes</t>
  </si>
  <si>
    <r>
      <t>c</t>
    </r>
    <r>
      <rPr>
        <b/>
        <vertAlign val="subscript"/>
        <sz val="11"/>
        <rFont val="Helvetica"/>
        <family val="2"/>
      </rPr>
      <t>D</t>
    </r>
  </si>
  <si>
    <t>Coin fiscal global du capital pour les Bénéfices Retenus</t>
  </si>
  <si>
    <t>Coin fiscal global du capital pour l'Augmentation de Capital</t>
  </si>
  <si>
    <t>Coin fiscal global du capital toutes formes de financement confondues</t>
  </si>
  <si>
    <t>EMTR</t>
  </si>
  <si>
    <t>Tableau 9: Calcul des différents EMTR</t>
  </si>
  <si>
    <t>EMTR des machines par type de financement</t>
  </si>
  <si>
    <t>EMTR pour les machines (Emprunt)</t>
  </si>
  <si>
    <r>
      <t>EMTR</t>
    </r>
    <r>
      <rPr>
        <b/>
        <vertAlign val="subscript"/>
        <sz val="11"/>
        <rFont val="Helvetica"/>
        <family val="2"/>
      </rPr>
      <t>MD</t>
    </r>
  </si>
  <si>
    <t>EMTR pour les machines (Bénéfices non distribués)</t>
  </si>
  <si>
    <r>
      <t>EMTR</t>
    </r>
    <r>
      <rPr>
        <b/>
        <vertAlign val="subscript"/>
        <sz val="11"/>
        <rFont val="Helvetica"/>
        <family val="2"/>
      </rPr>
      <t>MRE</t>
    </r>
  </si>
  <si>
    <t>EMTR pour les machines (Augmentation de capital)</t>
  </si>
  <si>
    <r>
      <t>EMTR</t>
    </r>
    <r>
      <rPr>
        <b/>
        <vertAlign val="subscript"/>
        <sz val="11"/>
        <rFont val="Helvetica"/>
        <family val="2"/>
      </rPr>
      <t>MNE</t>
    </r>
  </si>
  <si>
    <t>EMTR des bâtiments par type de financement</t>
  </si>
  <si>
    <t>EMTR pour les bâtiments (Emprunt)</t>
  </si>
  <si>
    <r>
      <t>EMTR</t>
    </r>
    <r>
      <rPr>
        <b/>
        <vertAlign val="subscript"/>
        <sz val="11"/>
        <rFont val="Helvetica"/>
        <family val="2"/>
      </rPr>
      <t>BD</t>
    </r>
  </si>
  <si>
    <t>EMTR pour les bâtiments (Bénéfices non distribués)</t>
  </si>
  <si>
    <r>
      <t>EMTR</t>
    </r>
    <r>
      <rPr>
        <b/>
        <vertAlign val="subscript"/>
        <sz val="11"/>
        <rFont val="Helvetica"/>
        <family val="2"/>
      </rPr>
      <t>BRE</t>
    </r>
  </si>
  <si>
    <t>EMTR  pour les bâtiments (Augmentation de capital)</t>
  </si>
  <si>
    <r>
      <t>EMTR</t>
    </r>
    <r>
      <rPr>
        <b/>
        <vertAlign val="subscript"/>
        <sz val="11"/>
        <rFont val="Helvetica"/>
        <family val="2"/>
      </rPr>
      <t>BNE</t>
    </r>
  </si>
  <si>
    <t>EMTR des stocks par type de financement</t>
  </si>
  <si>
    <t>EMTR pour les stocks (Emprunt)</t>
  </si>
  <si>
    <r>
      <t>EMTR</t>
    </r>
    <r>
      <rPr>
        <b/>
        <vertAlign val="subscript"/>
        <sz val="11"/>
        <rFont val="Helvetica"/>
        <family val="2"/>
      </rPr>
      <t>SD</t>
    </r>
  </si>
  <si>
    <t>EMTR pour les stocks (Bénéfices retenus)</t>
  </si>
  <si>
    <r>
      <t>EMTR</t>
    </r>
    <r>
      <rPr>
        <b/>
        <vertAlign val="subscript"/>
        <sz val="11"/>
        <rFont val="Helvetica"/>
        <family val="2"/>
      </rPr>
      <t>RE</t>
    </r>
  </si>
  <si>
    <t>EMTR pour les stocks (Augmentation de capital)</t>
  </si>
  <si>
    <r>
      <t>EMTR</t>
    </r>
    <r>
      <rPr>
        <b/>
        <vertAlign val="subscript"/>
        <sz val="11"/>
        <rFont val="Helvetica"/>
        <family val="2"/>
      </rPr>
      <t>NE</t>
    </r>
  </si>
  <si>
    <t>EMTR de chaque type d'actif</t>
  </si>
  <si>
    <t>EMTR pour les machines</t>
  </si>
  <si>
    <r>
      <t>EMTR</t>
    </r>
    <r>
      <rPr>
        <b/>
        <vertAlign val="subscript"/>
        <sz val="11"/>
        <rFont val="Helvetica"/>
        <family val="2"/>
      </rPr>
      <t>M</t>
    </r>
  </si>
  <si>
    <t>EMTR pour les bâtiments</t>
  </si>
  <si>
    <r>
      <t>EMTR</t>
    </r>
    <r>
      <rPr>
        <b/>
        <vertAlign val="subscript"/>
        <sz val="11"/>
        <rFont val="Helvetica"/>
        <family val="2"/>
      </rPr>
      <t>B</t>
    </r>
  </si>
  <si>
    <t>EMTR pour les stocks</t>
  </si>
  <si>
    <r>
      <t>EMTR</t>
    </r>
    <r>
      <rPr>
        <b/>
        <vertAlign val="subscript"/>
        <sz val="11"/>
        <rFont val="Helvetica"/>
        <family val="2"/>
      </rPr>
      <t>S</t>
    </r>
  </si>
  <si>
    <t>EMTR du capital toutes formes d'actifs confondues</t>
  </si>
  <si>
    <t>EMTR de chaque type de financement</t>
  </si>
  <si>
    <t>EMTR global du capital pour les Dettes</t>
  </si>
  <si>
    <r>
      <t>EMTR</t>
    </r>
    <r>
      <rPr>
        <b/>
        <vertAlign val="subscript"/>
        <sz val="11"/>
        <rFont val="Helvetica"/>
        <family val="2"/>
      </rPr>
      <t>D</t>
    </r>
  </si>
  <si>
    <t>EMTR global du capital pour les Bénéfices Retenus</t>
  </si>
  <si>
    <t>EMTR global du capital pour l'Augmentation de Capital</t>
  </si>
  <si>
    <t>EMTR global du capital toutes formes de financement confondues</t>
  </si>
  <si>
    <t>Tableau 10: Récapitulatif des différents EMTR</t>
  </si>
  <si>
    <t>EMTR du capital pour les machines</t>
  </si>
  <si>
    <t>EMTR du capital pour les bâtiments</t>
  </si>
  <si>
    <t>EMTR du capital pour les stocks</t>
  </si>
  <si>
    <t>EMTR pour les Dettes</t>
  </si>
  <si>
    <t>EMTR pour les Bénéfices Retenus</t>
  </si>
  <si>
    <t>EMTR pour l'Augmentation de Capital</t>
  </si>
  <si>
    <t>EMTR toutes formes de financement confondues</t>
  </si>
  <si>
    <t>Tableau 11: Cas effectif_Global</t>
  </si>
  <si>
    <t xml:space="preserve">Coût global du capital </t>
  </si>
  <si>
    <t>Coin fiscal</t>
  </si>
  <si>
    <t>Taux d'imposition des sociétés</t>
  </si>
  <si>
    <r>
      <t>t'</t>
    </r>
    <r>
      <rPr>
        <b/>
        <vertAlign val="subscript"/>
        <sz val="11"/>
        <rFont val="Arial"/>
        <family val="2"/>
      </rPr>
      <t>c</t>
    </r>
    <r>
      <rPr>
        <b/>
        <sz val="11"/>
        <rFont val="Arial"/>
        <family val="2"/>
      </rPr>
      <t xml:space="preserve"> </t>
    </r>
  </si>
  <si>
    <t>Taux d'imposition du revenu des personnes physiques</t>
  </si>
  <si>
    <r>
      <t>m</t>
    </r>
    <r>
      <rPr>
        <b/>
        <vertAlign val="subscript"/>
        <sz val="11"/>
        <rFont val="Arial"/>
        <family val="2"/>
      </rPr>
      <t>d</t>
    </r>
    <r>
      <rPr>
        <b/>
        <sz val="11"/>
        <rFont val="Arial"/>
        <family val="2"/>
      </rPr>
      <t xml:space="preserve"> ou mi</t>
    </r>
  </si>
  <si>
    <t>Tableau 12 : Cas effectif_Par type d'investissement</t>
  </si>
  <si>
    <r>
      <t>p</t>
    </r>
    <r>
      <rPr>
        <b/>
        <vertAlign val="subscript"/>
        <sz val="11"/>
        <rFont val="Times New Roman"/>
        <family val="1"/>
      </rPr>
      <t>M</t>
    </r>
  </si>
  <si>
    <t>Coût global du capital Batiments</t>
  </si>
  <si>
    <r>
      <t>p</t>
    </r>
    <r>
      <rPr>
        <b/>
        <vertAlign val="subscript"/>
        <sz val="11"/>
        <rFont val="Times New Roman"/>
        <family val="1"/>
      </rPr>
      <t>B</t>
    </r>
  </si>
  <si>
    <t>Coût global du capital Stocks</t>
  </si>
  <si>
    <r>
      <t>p</t>
    </r>
    <r>
      <rPr>
        <b/>
        <vertAlign val="subscript"/>
        <sz val="11"/>
        <rFont val="Times New Roman"/>
        <family val="1"/>
      </rPr>
      <t>S</t>
    </r>
  </si>
  <si>
    <t>Coût global du capital</t>
  </si>
  <si>
    <t>Coin fiscal  pour les machines</t>
  </si>
  <si>
    <r>
      <t>c</t>
    </r>
    <r>
      <rPr>
        <b/>
        <vertAlign val="subscript"/>
        <sz val="11"/>
        <rFont val="Times New Roman"/>
        <family val="1"/>
      </rPr>
      <t>M</t>
    </r>
  </si>
  <si>
    <t>Coin fiscal Batiments</t>
  </si>
  <si>
    <r>
      <t>c</t>
    </r>
    <r>
      <rPr>
        <b/>
        <vertAlign val="subscript"/>
        <sz val="11"/>
        <rFont val="Times New Roman"/>
        <family val="1"/>
      </rPr>
      <t>B</t>
    </r>
  </si>
  <si>
    <t>Coin fiscal Stocks</t>
  </si>
  <si>
    <r>
      <t>c</t>
    </r>
    <r>
      <rPr>
        <b/>
        <vertAlign val="subscript"/>
        <sz val="11"/>
        <rFont val="Times New Roman"/>
        <family val="1"/>
      </rPr>
      <t>S</t>
    </r>
  </si>
  <si>
    <t>Coin fiscal global</t>
  </si>
  <si>
    <r>
      <t>EMTR</t>
    </r>
    <r>
      <rPr>
        <b/>
        <vertAlign val="subscript"/>
        <sz val="11"/>
        <rFont val="Times New Roman"/>
        <family val="1"/>
      </rPr>
      <t>D</t>
    </r>
  </si>
  <si>
    <t>EMTR Batiments</t>
  </si>
  <si>
    <r>
      <t>EMTR</t>
    </r>
    <r>
      <rPr>
        <b/>
        <vertAlign val="subscript"/>
        <sz val="11"/>
        <rFont val="Times New Roman"/>
        <family val="1"/>
      </rPr>
      <t>RE</t>
    </r>
  </si>
  <si>
    <t>EMTR Stocks</t>
  </si>
  <si>
    <r>
      <t>EMTR</t>
    </r>
    <r>
      <rPr>
        <b/>
        <vertAlign val="subscript"/>
        <sz val="11"/>
        <rFont val="Times New Roman"/>
        <family val="1"/>
      </rPr>
      <t>NE</t>
    </r>
  </si>
  <si>
    <t>EMTR  global</t>
  </si>
  <si>
    <t>Tableau 13 : Cas effectif Par type de financement</t>
  </si>
  <si>
    <t>Coût global du capital pour la dette</t>
  </si>
  <si>
    <r>
      <t>p</t>
    </r>
    <r>
      <rPr>
        <b/>
        <vertAlign val="subscript"/>
        <sz val="11"/>
        <rFont val="Times New Roman"/>
        <family val="1"/>
      </rPr>
      <t>D</t>
    </r>
  </si>
  <si>
    <t>Coût global du capital RE</t>
  </si>
  <si>
    <r>
      <t>p</t>
    </r>
    <r>
      <rPr>
        <b/>
        <vertAlign val="subscript"/>
        <sz val="11"/>
        <rFont val="Times New Roman"/>
        <family val="1"/>
      </rPr>
      <t>RE</t>
    </r>
  </si>
  <si>
    <t>Coût global du capital NE</t>
  </si>
  <si>
    <r>
      <t>p</t>
    </r>
    <r>
      <rPr>
        <b/>
        <vertAlign val="subscript"/>
        <sz val="11"/>
        <rFont val="Times New Roman"/>
        <family val="1"/>
      </rPr>
      <t>NE</t>
    </r>
  </si>
  <si>
    <t>Coin fiscal pour la dette</t>
  </si>
  <si>
    <r>
      <t>c</t>
    </r>
    <r>
      <rPr>
        <b/>
        <vertAlign val="subscript"/>
        <sz val="11"/>
        <rFont val="Times New Roman"/>
        <family val="1"/>
      </rPr>
      <t>D</t>
    </r>
  </si>
  <si>
    <t>Coin fiscal RE</t>
  </si>
  <si>
    <r>
      <t>c</t>
    </r>
    <r>
      <rPr>
        <b/>
        <vertAlign val="subscript"/>
        <sz val="11"/>
        <rFont val="Times New Roman"/>
        <family val="1"/>
      </rPr>
      <t>RE</t>
    </r>
  </si>
  <si>
    <t>Coin fiscal NE</t>
  </si>
  <si>
    <r>
      <t>c</t>
    </r>
    <r>
      <rPr>
        <b/>
        <vertAlign val="subscript"/>
        <sz val="11"/>
        <rFont val="Times New Roman"/>
        <family val="1"/>
      </rPr>
      <t>NE</t>
    </r>
  </si>
  <si>
    <t>EMTR pour la dette</t>
  </si>
  <si>
    <t>EMTR RE</t>
  </si>
  <si>
    <t>EMTR NE</t>
  </si>
  <si>
    <t>Par type de financement</t>
  </si>
  <si>
    <t>Par type d'investissement</t>
  </si>
  <si>
    <t>Moyenne</t>
  </si>
  <si>
    <t>RE</t>
  </si>
  <si>
    <t>NE</t>
  </si>
  <si>
    <t xml:space="preserve">Machine </t>
  </si>
  <si>
    <t xml:space="preserve">Batiment </t>
  </si>
  <si>
    <t>Coût du capital</t>
  </si>
  <si>
    <t xml:space="preserve">Coin fiscal </t>
  </si>
  <si>
    <t xml:space="preserve">EMTR </t>
  </si>
  <si>
    <t>Par forme de financement</t>
  </si>
  <si>
    <t>Endettement</t>
  </si>
  <si>
    <t>Moyenne pondérée</t>
  </si>
  <si>
    <t>Calcul du taux d'escompte des bénéfices retenus</t>
  </si>
  <si>
    <t>Calcul du taux d'escompte de l'augmentation de capital_Méthode 1</t>
  </si>
  <si>
    <t>Calcul du taux d'escompte de l'augmentation de capital_Méthode 2</t>
  </si>
  <si>
    <t>Récapitulatif des taux d'escompte</t>
  </si>
  <si>
    <t>Calcul de la valeur actualisée des déductions pour l'amortissement des machines</t>
  </si>
  <si>
    <t>Calcul de la valeur actualisée des déductions pour l'amortissement des bâtiments</t>
  </si>
  <si>
    <t>Récapitulatif des valeurs actualisées des déductions pour amortissement</t>
  </si>
  <si>
    <t>6.3_Recapitulatif_Amortissement'!A1</t>
  </si>
  <si>
    <t>Récapitulatif des étapes du calcul pour le coût du capital p</t>
  </si>
  <si>
    <t>7_Etapes pour p'!A1</t>
  </si>
  <si>
    <t>Calcul du coût du capital des machines par source de financement + moyenne</t>
  </si>
  <si>
    <t>Calcul du coût du capital des bâtiments par source de financement + moyenne</t>
  </si>
  <si>
    <t>Calcul du coût du capital des stocks par source de financement + moyenne</t>
  </si>
  <si>
    <t>Récapitulatif des coûts de capital pour les actifs physiques</t>
  </si>
  <si>
    <t>Calcul du coût du capital pour la dette</t>
  </si>
  <si>
    <t>Calcul du coût du capital pour les bénéfices retenus</t>
  </si>
  <si>
    <t>Calcul du coût du capital pour les émissions d'actions</t>
  </si>
  <si>
    <t>Récapitulatif des coûts de capital pour les sources de financement</t>
  </si>
  <si>
    <t>Récapitulatif des différents coûts de capital (Actif + Financement)</t>
  </si>
  <si>
    <t>Récapitulatif des différents coins fiscaux</t>
  </si>
  <si>
    <t>Calcul des différents EMTR</t>
  </si>
  <si>
    <t>9_Calcul_EMTR'!A1</t>
  </si>
  <si>
    <t>Récapitulatif des différents EMTR</t>
  </si>
  <si>
    <t>Récapitulatif global</t>
  </si>
  <si>
    <t>Récapitulatif par type d'investissement</t>
  </si>
  <si>
    <t>Récapitulatif par type de financement</t>
  </si>
  <si>
    <t>Résultats 2003</t>
  </si>
  <si>
    <t>Taux d'imposition du capital</t>
  </si>
  <si>
    <t>Annexe</t>
  </si>
  <si>
    <t>« Une Méthode de calcul des taux effectifs marginaux d’imposition des sociétés sur l’exemple de Zürich en 2003 »</t>
  </si>
  <si>
    <t>Caroline Le Bourdonnec (2004)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</si>
</sst>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0%"/>
    <numFmt numFmtId="165" formatCode="0.0%"/>
    <numFmt numFmtId="166" formatCode="0.000%"/>
    <numFmt numFmtId="167" formatCode="0.00000000000000%"/>
    <numFmt numFmtId="168" formatCode="&quot;Vrai&quot;;&quot;Vrai&quot;;&quot;Faux&quot;"/>
    <numFmt numFmtId="169" formatCode="&quot;Actif&quot;;&quot;Actif&quot;;&quot;Inactif&quot;"/>
  </numFmts>
  <fonts count="24">
    <font>
      <sz val="10"/>
      <name val="Arial"/>
      <family val="0"/>
    </font>
    <font>
      <u val="single"/>
      <sz val="8"/>
      <color indexed="12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0"/>
    </font>
    <font>
      <b/>
      <sz val="12"/>
      <name val="Symbol"/>
      <family val="1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vertAlign val="subscript"/>
      <sz val="10"/>
      <name val="Times New Roman"/>
      <family val="1"/>
    </font>
    <font>
      <b/>
      <sz val="11"/>
      <name val="Symbol"/>
      <family val="1"/>
    </font>
    <font>
      <b/>
      <vertAlign val="subscript"/>
      <sz val="10"/>
      <name val="Arial"/>
      <family val="2"/>
    </font>
    <font>
      <b/>
      <vertAlign val="subscript"/>
      <sz val="11"/>
      <name val="Symbol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Times New Roman"/>
      <family val="1"/>
    </font>
    <font>
      <b/>
      <vertAlign val="subscript"/>
      <sz val="11"/>
      <name val="Helvetica"/>
      <family val="2"/>
    </font>
    <font>
      <u val="single"/>
      <sz val="10"/>
      <color indexed="36"/>
      <name val="Arial"/>
      <family val="0"/>
    </font>
    <font>
      <b/>
      <vertAlign val="superscript"/>
      <sz val="11"/>
      <name val="Helvetica"/>
      <family val="2"/>
    </font>
    <font>
      <b/>
      <sz val="11"/>
      <name val="Times New Roman"/>
      <family val="1"/>
    </font>
    <font>
      <b/>
      <vertAlign val="subscript"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15" applyAlignment="1" quotePrefix="1">
      <alignment/>
    </xf>
    <xf numFmtId="0" fontId="0" fillId="0" borderId="0" xfId="0" applyFill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/>
    </xf>
    <xf numFmtId="10" fontId="4" fillId="4" borderId="1" xfId="2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10" fontId="4" fillId="2" borderId="1" xfId="2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0" fontId="4" fillId="4" borderId="1" xfId="21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9" fontId="4" fillId="2" borderId="1" xfId="2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2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0" fontId="4" fillId="6" borderId="1" xfId="21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164" fontId="4" fillId="2" borderId="1" xfId="21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/>
    </xf>
    <xf numFmtId="0" fontId="1" fillId="4" borderId="1" xfId="15" applyNumberFormat="1" applyFill="1" applyBorder="1" applyAlignment="1" quotePrefix="1">
      <alignment/>
    </xf>
    <xf numFmtId="0" fontId="1" fillId="4" borderId="1" xfId="15" applyFill="1" applyBorder="1" applyAlignment="1" quotePrefix="1">
      <alignment/>
    </xf>
    <xf numFmtId="0" fontId="1" fillId="4" borderId="1" xfId="15" applyFont="1" applyFill="1" applyBorder="1" applyAlignment="1" quotePrefix="1">
      <alignment horizontal="left" vertical="center"/>
    </xf>
    <xf numFmtId="0" fontId="9" fillId="4" borderId="0" xfId="0" applyFont="1" applyFill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 wrapText="1"/>
    </xf>
    <xf numFmtId="10" fontId="4" fillId="6" borderId="1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10" fontId="4" fillId="2" borderId="2" xfId="21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/>
    </xf>
    <xf numFmtId="0" fontId="3" fillId="4" borderId="1" xfId="0" applyFont="1" applyFill="1" applyBorder="1" applyAlignment="1">
      <alignment horizontal="center" vertical="center"/>
    </xf>
    <xf numFmtId="0" fontId="4" fillId="6" borderId="5" xfId="21" applyNumberFormat="1" applyFont="1" applyFill="1" applyBorder="1" applyAlignment="1">
      <alignment horizontal="center" vertical="center"/>
    </xf>
    <xf numFmtId="0" fontId="0" fillId="7" borderId="3" xfId="0" applyFill="1" applyBorder="1" applyAlignment="1">
      <alignment/>
    </xf>
    <xf numFmtId="0" fontId="2" fillId="7" borderId="4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0" fontId="2" fillId="6" borderId="11" xfId="0" applyFont="1" applyFill="1" applyBorder="1" applyAlignment="1">
      <alignment horizontal="center" vertical="center" wrapText="1"/>
    </xf>
    <xf numFmtId="10" fontId="4" fillId="6" borderId="1" xfId="21" applyNumberFormat="1" applyFont="1" applyFill="1" applyBorder="1" applyAlignment="1">
      <alignment horizontal="center" vertical="center"/>
    </xf>
    <xf numFmtId="10" fontId="4" fillId="6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9" fontId="4" fillId="6" borderId="1" xfId="21" applyNumberFormat="1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165" fontId="4" fillId="6" borderId="1" xfId="21" applyNumberFormat="1" applyFont="1" applyFill="1" applyBorder="1" applyAlignment="1">
      <alignment horizontal="center" vertical="center"/>
    </xf>
    <xf numFmtId="166" fontId="4" fillId="6" borderId="1" xfId="2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0" fillId="7" borderId="3" xfId="0" applyFill="1" applyBorder="1" applyAlignment="1">
      <alignment/>
    </xf>
    <xf numFmtId="0" fontId="0" fillId="7" borderId="1" xfId="0" applyFill="1" applyBorder="1" applyAlignment="1">
      <alignment/>
    </xf>
    <xf numFmtId="0" fontId="6" fillId="3" borderId="1" xfId="0" applyFont="1" applyFill="1" applyBorder="1" applyAlignment="1">
      <alignment horizontal="center" vertical="center"/>
    </xf>
    <xf numFmtId="166" fontId="4" fillId="3" borderId="1" xfId="21" applyNumberFormat="1" applyFont="1" applyFill="1" applyBorder="1" applyAlignment="1">
      <alignment horizontal="center" vertical="center"/>
    </xf>
    <xf numFmtId="0" fontId="0" fillId="7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0" borderId="0" xfId="0" applyFill="1" applyAlignment="1">
      <alignment/>
    </xf>
    <xf numFmtId="10" fontId="4" fillId="2" borderId="1" xfId="21" applyNumberFormat="1" applyFont="1" applyFill="1" applyBorder="1" applyAlignment="1">
      <alignment horizontal="center" vertical="center"/>
    </xf>
    <xf numFmtId="0" fontId="18" fillId="4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0" fontId="2" fillId="8" borderId="1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wrapText="1"/>
    </xf>
    <xf numFmtId="10" fontId="4" fillId="6" borderId="5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10" fontId="4" fillId="4" borderId="1" xfId="0" applyNumberFormat="1" applyFont="1" applyFill="1" applyBorder="1" applyAlignment="1">
      <alignment horizontal="center" vertical="center"/>
    </xf>
    <xf numFmtId="10" fontId="4" fillId="2" borderId="5" xfId="21" applyNumberFormat="1" applyFont="1" applyFill="1" applyBorder="1" applyAlignment="1">
      <alignment horizontal="center" vertical="center"/>
    </xf>
    <xf numFmtId="10" fontId="4" fillId="0" borderId="0" xfId="21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9" fontId="4" fillId="6" borderId="1" xfId="0" applyNumberFormat="1" applyFont="1" applyFill="1" applyBorder="1" applyAlignment="1">
      <alignment horizontal="center" vertical="center"/>
    </xf>
    <xf numFmtId="9" fontId="4" fillId="6" borderId="5" xfId="0" applyNumberFormat="1" applyFont="1" applyFill="1" applyBorder="1" applyAlignment="1">
      <alignment horizontal="center" vertical="center"/>
    </xf>
    <xf numFmtId="165" fontId="4" fillId="2" borderId="1" xfId="21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/>
    </xf>
    <xf numFmtId="10" fontId="0" fillId="0" borderId="0" xfId="21" applyNumberFormat="1" applyAlignment="1">
      <alignment/>
    </xf>
    <xf numFmtId="0" fontId="2" fillId="4" borderId="7" xfId="0" applyFont="1" applyFill="1" applyBorder="1" applyAlignment="1">
      <alignment horizontal="center" vertical="center"/>
    </xf>
    <xf numFmtId="0" fontId="1" fillId="4" borderId="1" xfId="15" applyFill="1" applyBorder="1" applyAlignment="1" quotePrefix="1">
      <alignment horizontal="left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" fillId="4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6" borderId="19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7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8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2.w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2.w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2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1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8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oleObject" Target="../embeddings/oleObject_10_2.bin" /><Relationship Id="rId4" Type="http://schemas.openxmlformats.org/officeDocument/2006/relationships/oleObject" Target="../embeddings/oleObject_10_3.bin" /><Relationship Id="rId5" Type="http://schemas.openxmlformats.org/officeDocument/2006/relationships/vmlDrawing" Target="../drawings/vmlDrawing9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0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oleObject" Target="../embeddings/oleObject_14_0.bin" /><Relationship Id="rId3" Type="http://schemas.openxmlformats.org/officeDocument/2006/relationships/vmlDrawing" Target="../drawings/vmlDrawing12.vml" /><Relationship Id="rId4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oleObject" Target="../embeddings/oleObject_17_0.bin" /><Relationship Id="rId3" Type="http://schemas.openxmlformats.org/officeDocument/2006/relationships/vmlDrawing" Target="../drawings/vmlDrawing13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oleObject" Target="../embeddings/oleObject_18_0.bin" /><Relationship Id="rId3" Type="http://schemas.openxmlformats.org/officeDocument/2006/relationships/vmlDrawing" Target="../drawings/vmlDrawing1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oleObject" Target="../embeddings/oleObject_19_0.bin" /><Relationship Id="rId3" Type="http://schemas.openxmlformats.org/officeDocument/2006/relationships/oleObject" Target="../embeddings/oleObject_19_1.bin" /><Relationship Id="rId4" Type="http://schemas.openxmlformats.org/officeDocument/2006/relationships/vmlDrawing" Target="../drawings/vmlDrawing15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oleObject" Target="../embeddings/oleObject_26_0.bin" /><Relationship Id="rId3" Type="http://schemas.openxmlformats.org/officeDocument/2006/relationships/oleObject" Target="../embeddings/oleObject_26_1.bin" /><Relationship Id="rId4" Type="http://schemas.openxmlformats.org/officeDocument/2006/relationships/vmlDrawing" Target="../drawings/vmlDrawing16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7_0.bin" /><Relationship Id="rId2" Type="http://schemas.openxmlformats.org/officeDocument/2006/relationships/oleObject" Target="../embeddings/oleObject_27_1.bin" /><Relationship Id="rId3" Type="http://schemas.openxmlformats.org/officeDocument/2006/relationships/vmlDrawing" Target="../drawings/vmlDrawing17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8_0.bin" /><Relationship Id="rId2" Type="http://schemas.openxmlformats.org/officeDocument/2006/relationships/oleObject" Target="../embeddings/oleObject_28_1.bin" /><Relationship Id="rId3" Type="http://schemas.openxmlformats.org/officeDocument/2006/relationships/vmlDrawing" Target="../drawings/vmlDrawing18.v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1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6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B7"/>
  <sheetViews>
    <sheetView tabSelected="1" workbookViewId="0" topLeftCell="A1">
      <selection activeCell="B6" sqref="B6"/>
    </sheetView>
  </sheetViews>
  <sheetFormatPr defaultColWidth="11.421875" defaultRowHeight="12.75"/>
  <sheetData>
    <row r="4" ht="15.75">
      <c r="B4" s="137" t="s">
        <v>544</v>
      </c>
    </row>
    <row r="5" ht="15.75">
      <c r="B5" s="138" t="s">
        <v>546</v>
      </c>
    </row>
    <row r="6" ht="15.75">
      <c r="B6" s="139" t="s">
        <v>545</v>
      </c>
    </row>
    <row r="7" ht="15.75">
      <c r="B7" s="13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D23" sqref="D23"/>
    </sheetView>
  </sheetViews>
  <sheetFormatPr defaultColWidth="11.421875" defaultRowHeight="12.75"/>
  <cols>
    <col min="2" max="2" width="38.00390625" style="0" customWidth="1"/>
  </cols>
  <sheetData>
    <row r="1" ht="12.75">
      <c r="A1" s="1" t="s">
        <v>37</v>
      </c>
    </row>
    <row r="2" ht="13.5" thickBot="1"/>
    <row r="3" spans="2:4" ht="66" customHeight="1" thickBot="1">
      <c r="B3" s="57" t="s">
        <v>190</v>
      </c>
      <c r="C3" s="51" t="s">
        <v>158</v>
      </c>
      <c r="D3" s="58">
        <v>2003</v>
      </c>
    </row>
    <row r="4" spans="2:4" ht="15.75" thickBot="1">
      <c r="B4" s="4" t="s">
        <v>112</v>
      </c>
      <c r="C4" s="59" t="s">
        <v>114</v>
      </c>
      <c r="D4" s="60">
        <f>'3_Calcul de i'!D13</f>
        <v>0.05630000000000002</v>
      </c>
    </row>
    <row r="5" spans="2:4" ht="13.5" thickBot="1">
      <c r="B5" s="4" t="s">
        <v>132</v>
      </c>
      <c r="C5" s="75" t="s">
        <v>133</v>
      </c>
      <c r="D5" s="60">
        <f>'5.1_Calcul de Z effectif'!D9</f>
        <v>0</v>
      </c>
    </row>
    <row r="6" spans="2:4" ht="16.5" thickBot="1">
      <c r="B6" s="4" t="s">
        <v>41</v>
      </c>
      <c r="C6" s="61" t="s">
        <v>42</v>
      </c>
      <c r="D6" s="60">
        <f>2_BDD_Effectif_IF_IAN!D5</f>
        <v>0.006</v>
      </c>
    </row>
    <row r="7" spans="2:4" ht="17.25" thickBot="1">
      <c r="B7" s="4" t="s">
        <v>117</v>
      </c>
      <c r="C7" s="8" t="s">
        <v>55</v>
      </c>
      <c r="D7" s="60">
        <f>2_BDD_Effectif_IF_IAN!D12</f>
        <v>0.41659999999999997</v>
      </c>
    </row>
    <row r="8" spans="2:4" ht="18" thickBot="1">
      <c r="B8" s="11" t="s">
        <v>191</v>
      </c>
      <c r="C8" s="14" t="s">
        <v>192</v>
      </c>
      <c r="D8" s="13">
        <f>((1-D7)*D4-(D5*D6))/(1-D5)</f>
        <v>0.032845420000000014</v>
      </c>
    </row>
  </sheetData>
  <hyperlinks>
    <hyperlink ref="A1" location="'Plan du fichier'!A1" display="'Plan du fichier'!A1"/>
  </hyperlinks>
  <printOptions/>
  <pageMargins left="0.75" right="0.75" top="1" bottom="1" header="0.4921259845" footer="0.4921259845"/>
  <pageSetup orientation="portrait" paperSize="9"/>
  <legacyDrawing r:id="rId2"/>
  <oleObjects>
    <oleObject progId="Equation.2" shapeId="2185903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F16" sqref="F16"/>
    </sheetView>
  </sheetViews>
  <sheetFormatPr defaultColWidth="11.421875" defaultRowHeight="12.75"/>
  <cols>
    <col min="2" max="2" width="24.00390625" style="0" customWidth="1"/>
    <col min="3" max="3" width="22.7109375" style="0" customWidth="1"/>
  </cols>
  <sheetData>
    <row r="1" ht="12.75">
      <c r="A1" s="1" t="s">
        <v>37</v>
      </c>
    </row>
    <row r="2" ht="13.5" thickBot="1"/>
    <row r="3" spans="2:4" ht="66.75" customHeight="1" thickBot="1">
      <c r="B3" s="57" t="s">
        <v>193</v>
      </c>
      <c r="C3" s="51" t="s">
        <v>158</v>
      </c>
      <c r="D3" s="58">
        <v>2003</v>
      </c>
    </row>
    <row r="4" spans="2:4" ht="15.75" thickBot="1">
      <c r="B4" s="4" t="s">
        <v>112</v>
      </c>
      <c r="C4" s="59" t="s">
        <v>114</v>
      </c>
      <c r="D4" s="60">
        <f>'3_Calcul de i'!D13</f>
        <v>0.05630000000000002</v>
      </c>
    </row>
    <row r="5" spans="2:4" ht="17.25" thickBot="1">
      <c r="B5" s="4" t="s">
        <v>123</v>
      </c>
      <c r="C5" s="8" t="s">
        <v>124</v>
      </c>
      <c r="D5" s="60">
        <f>2_BDD_Effectif_IF_IAN!D6</f>
        <v>0.23931713179913777</v>
      </c>
    </row>
    <row r="6" spans="2:4" ht="26.25" thickBot="1">
      <c r="B6" s="4" t="s">
        <v>132</v>
      </c>
      <c r="C6" s="75" t="s">
        <v>133</v>
      </c>
      <c r="D6" s="60">
        <f>'5.1_Calcul de Z effectif'!D9</f>
        <v>0</v>
      </c>
    </row>
    <row r="7" spans="2:4" ht="16.5" thickBot="1">
      <c r="B7" s="4" t="s">
        <v>41</v>
      </c>
      <c r="C7" s="61" t="s">
        <v>42</v>
      </c>
      <c r="D7" s="60">
        <f>2_BDD_Effectif_IF_IAN!D5</f>
        <v>0.006</v>
      </c>
    </row>
    <row r="8" spans="2:4" ht="17.25" thickBot="1">
      <c r="B8" s="4" t="s">
        <v>117</v>
      </c>
      <c r="C8" s="8" t="s">
        <v>55</v>
      </c>
      <c r="D8" s="60">
        <f>2_BDD_Effectif_IF_IAN!D12</f>
        <v>0.41659999999999997</v>
      </c>
    </row>
    <row r="9" spans="2:4" ht="26.25" thickBot="1">
      <c r="B9" s="11" t="s">
        <v>191</v>
      </c>
      <c r="C9" s="76" t="s">
        <v>192</v>
      </c>
      <c r="D9" s="13">
        <f>((1-D8)*D4-(D6*D7))/(1-D6)</f>
        <v>0.032845420000000014</v>
      </c>
    </row>
    <row r="10" spans="2:4" ht="26.25" thickBot="1">
      <c r="B10" s="4" t="s">
        <v>127</v>
      </c>
      <c r="C10" s="8" t="s">
        <v>51</v>
      </c>
      <c r="D10" s="60">
        <f>2_BDD_Effectif_IF_IAN!D10</f>
        <v>0.41659999999999997</v>
      </c>
    </row>
    <row r="11" spans="2:4" ht="15.75" thickBot="1">
      <c r="B11" s="4" t="s">
        <v>52</v>
      </c>
      <c r="C11" s="77" t="s">
        <v>53</v>
      </c>
      <c r="D11" s="60">
        <f>2_BDD_Effectif_IF_IAN!D11</f>
        <v>0</v>
      </c>
    </row>
    <row r="12" spans="2:4" ht="26.25" thickBot="1">
      <c r="B12" s="4" t="s">
        <v>194</v>
      </c>
      <c r="C12" s="78" t="s">
        <v>195</v>
      </c>
      <c r="D12" s="60">
        <f>(1-D10)/((1-D6)*(1-D11))</f>
        <v>0.5834</v>
      </c>
    </row>
    <row r="13" spans="2:4" ht="39" thickBot="1">
      <c r="B13" s="11" t="s">
        <v>196</v>
      </c>
      <c r="C13" s="14" t="s">
        <v>197</v>
      </c>
      <c r="D13" s="13">
        <f>D9/D12</f>
        <v>0.056300000000000024</v>
      </c>
    </row>
  </sheetData>
  <hyperlinks>
    <hyperlink ref="A1" location="'Plan du fichier'!A1" display="'Plan du fichier'!A1"/>
  </hyperlinks>
  <printOptions/>
  <pageMargins left="0.75" right="0.75" top="1" bottom="1" header="0.4921259845" footer="0.4921259845"/>
  <pageSetup orientation="portrait" paperSize="9"/>
  <legacyDrawing r:id="rId5"/>
  <oleObjects>
    <oleObject progId="Equation.3" shapeId="2187297" r:id="rId1"/>
    <oleObject progId="Equation.3" shapeId="2187788" r:id="rId2"/>
    <oleObject progId="Equation.3" shapeId="2188250" r:id="rId3"/>
    <oleObject progId="Equation.2" shapeId="2188724" r:id="rId4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E22" sqref="E22"/>
    </sheetView>
  </sheetViews>
  <sheetFormatPr defaultColWidth="11.421875" defaultRowHeight="12.75"/>
  <cols>
    <col min="2" max="2" width="24.7109375" style="0" customWidth="1"/>
    <col min="3" max="3" width="22.7109375" style="0" customWidth="1"/>
  </cols>
  <sheetData>
    <row r="1" ht="12.75">
      <c r="A1" s="1" t="s">
        <v>37</v>
      </c>
    </row>
    <row r="2" ht="13.5" thickBot="1"/>
    <row r="3" spans="2:4" ht="57" customHeight="1" thickBot="1">
      <c r="B3" s="57" t="s">
        <v>198</v>
      </c>
      <c r="C3" s="51" t="s">
        <v>158</v>
      </c>
      <c r="D3" s="58">
        <v>2003</v>
      </c>
    </row>
    <row r="4" spans="2:4" ht="15.75" thickBot="1">
      <c r="B4" s="4" t="s">
        <v>112</v>
      </c>
      <c r="C4" s="59" t="s">
        <v>114</v>
      </c>
      <c r="D4" s="60">
        <f>'3_Calcul de i'!D13</f>
        <v>0.05630000000000002</v>
      </c>
    </row>
    <row r="5" spans="2:4" ht="32.25" customHeight="1" thickBot="1">
      <c r="B5" s="4" t="s">
        <v>132</v>
      </c>
      <c r="C5" s="75" t="s">
        <v>133</v>
      </c>
      <c r="D5" s="60">
        <f>'5.1_Calcul de Z effectif'!D9</f>
        <v>0</v>
      </c>
    </row>
    <row r="6" spans="2:4" ht="16.5" thickBot="1">
      <c r="B6" s="4" t="s">
        <v>41</v>
      </c>
      <c r="C6" s="61" t="s">
        <v>42</v>
      </c>
      <c r="D6" s="60">
        <f>2_BDD_Effectif_IF_IAN!D5</f>
        <v>0.006</v>
      </c>
    </row>
    <row r="7" spans="2:4" ht="17.25" thickBot="1">
      <c r="B7" s="4" t="s">
        <v>117</v>
      </c>
      <c r="C7" s="8" t="s">
        <v>55</v>
      </c>
      <c r="D7" s="60">
        <f>2_BDD_Effectif_IF_IAN!D12</f>
        <v>0.41659999999999997</v>
      </c>
    </row>
    <row r="8" spans="2:4" ht="26.25" thickBot="1">
      <c r="B8" s="4" t="s">
        <v>127</v>
      </c>
      <c r="C8" s="8" t="s">
        <v>51</v>
      </c>
      <c r="D8" s="60">
        <f>2_BDD_Effectif_IF_IAN!D10</f>
        <v>0.41659999999999997</v>
      </c>
    </row>
    <row r="9" spans="2:4" ht="15.75" thickBot="1">
      <c r="B9" s="4" t="s">
        <v>52</v>
      </c>
      <c r="C9" s="79" t="s">
        <v>53</v>
      </c>
      <c r="D9" s="60">
        <f>2_BDD_Effectif_IF_IAN!D11</f>
        <v>0</v>
      </c>
    </row>
    <row r="10" spans="2:4" ht="39" thickBot="1">
      <c r="B10" s="11" t="s">
        <v>199</v>
      </c>
      <c r="C10" s="14" t="s">
        <v>197</v>
      </c>
      <c r="D10" s="13">
        <f>(1-D9)*((1-D7)*D4-D5*D6)/(1-D8)</f>
        <v>0.056300000000000024</v>
      </c>
    </row>
  </sheetData>
  <hyperlinks>
    <hyperlink ref="A1" location="'Plan du fichier'!A1" display="'Plan du fichier'!A1"/>
  </hyperlinks>
  <printOptions/>
  <pageMargins left="0.75" right="0.75" top="1" bottom="1" header="0.4921259845" footer="0.4921259845"/>
  <pageSetup orientation="portrait" paperSize="9"/>
  <legacyDrawing r:id="rId2"/>
  <oleObjects>
    <oleObject progId="Equation.2" shapeId="2190352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F22" sqref="F22"/>
    </sheetView>
  </sheetViews>
  <sheetFormatPr defaultColWidth="11.421875" defaultRowHeight="12.75"/>
  <cols>
    <col min="2" max="2" width="37.57421875" style="0" customWidth="1"/>
    <col min="3" max="3" width="12.8515625" style="0" customWidth="1"/>
    <col min="4" max="4" width="9.57421875" style="0" customWidth="1"/>
  </cols>
  <sheetData>
    <row r="1" ht="12.75">
      <c r="A1" s="1" t="s">
        <v>37</v>
      </c>
    </row>
    <row r="2" ht="13.5" thickBot="1"/>
    <row r="3" spans="2:4" ht="26.25" thickBot="1">
      <c r="B3" s="57" t="s">
        <v>200</v>
      </c>
      <c r="C3" s="51" t="s">
        <v>158</v>
      </c>
      <c r="D3" s="58">
        <v>2003</v>
      </c>
    </row>
    <row r="4" spans="2:4" ht="27.75" customHeight="1" thickBot="1">
      <c r="B4" s="4" t="s">
        <v>188</v>
      </c>
      <c r="C4" s="78" t="s">
        <v>189</v>
      </c>
      <c r="D4" s="60">
        <f>'5.2_Tx d''escompte_Dette'!D7</f>
        <v>0.04243371919970856</v>
      </c>
    </row>
    <row r="5" spans="2:4" ht="36" customHeight="1" thickBot="1">
      <c r="B5" s="4" t="s">
        <v>191</v>
      </c>
      <c r="C5" s="78" t="s">
        <v>192</v>
      </c>
      <c r="D5" s="60">
        <f>'5.3_Tx d''escompte_RE'!D8</f>
        <v>0.032845420000000014</v>
      </c>
    </row>
    <row r="6" spans="2:4" ht="18" thickBot="1">
      <c r="B6" s="4" t="s">
        <v>201</v>
      </c>
      <c r="C6" s="78" t="s">
        <v>197</v>
      </c>
      <c r="D6" s="60">
        <f>'5.4_Tx d''escompte_NE_M1'!D13</f>
        <v>0.056300000000000024</v>
      </c>
    </row>
  </sheetData>
  <hyperlinks>
    <hyperlink ref="A1" location="'Plan du fichier'!A1" display="'Plan du fichier'!A1"/>
  </hyperlink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1">
      <selection activeCell="F23" sqref="F23"/>
    </sheetView>
  </sheetViews>
  <sheetFormatPr defaultColWidth="11.421875" defaultRowHeight="12.75"/>
  <cols>
    <col min="3" max="3" width="31.421875" style="0" customWidth="1"/>
  </cols>
  <sheetData>
    <row r="1" ht="12.75">
      <c r="A1" s="1" t="s">
        <v>37</v>
      </c>
    </row>
    <row r="2" ht="13.5" thickBot="1"/>
    <row r="3" spans="2:5" ht="86.25" customHeight="1" thickBot="1">
      <c r="B3" s="51" t="s">
        <v>202</v>
      </c>
      <c r="C3" s="57" t="s">
        <v>203</v>
      </c>
      <c r="D3" s="51" t="s">
        <v>158</v>
      </c>
      <c r="E3" s="58">
        <v>2003</v>
      </c>
    </row>
    <row r="4" spans="2:5" ht="26.25" thickBot="1">
      <c r="B4" s="148" t="s">
        <v>204</v>
      </c>
      <c r="C4" s="4" t="s">
        <v>205</v>
      </c>
      <c r="D4" s="80" t="s">
        <v>61</v>
      </c>
      <c r="E4" s="60">
        <f>2_BDD_Effectif_IF_IAN!D15</f>
        <v>0.3</v>
      </c>
    </row>
    <row r="5" spans="2:5" ht="23.25" thickBot="1">
      <c r="B5" s="149"/>
      <c r="C5" s="4" t="s">
        <v>206</v>
      </c>
      <c r="D5" s="72" t="s">
        <v>207</v>
      </c>
      <c r="E5" s="81" t="s">
        <v>208</v>
      </c>
    </row>
    <row r="6" spans="2:5" ht="17.25" thickBot="1">
      <c r="B6" s="149"/>
      <c r="C6" s="4" t="s">
        <v>123</v>
      </c>
      <c r="D6" s="8" t="s">
        <v>124</v>
      </c>
      <c r="E6" s="60">
        <f>2_BDD_Effectif_IF_IAN!D6</f>
        <v>0.23931713179913777</v>
      </c>
    </row>
    <row r="7" spans="2:5" ht="40.5" customHeight="1" thickBot="1">
      <c r="B7" s="149"/>
      <c r="C7" s="9" t="s">
        <v>187</v>
      </c>
      <c r="D7" s="10" t="s">
        <v>267</v>
      </c>
      <c r="E7" s="60">
        <f>2_BDD_Effectif_IF_IAN!D7</f>
        <v>0.006975599999999999</v>
      </c>
    </row>
    <row r="8" spans="2:5" ht="18" thickBot="1">
      <c r="B8" s="149"/>
      <c r="C8" s="4" t="s">
        <v>209</v>
      </c>
      <c r="D8" s="78" t="s">
        <v>189</v>
      </c>
      <c r="E8" s="60">
        <f>'5.6_Recapitulatif_Tx d''escompte'!D4</f>
        <v>0.04243371919970856</v>
      </c>
    </row>
    <row r="9" spans="2:5" ht="18" thickBot="1">
      <c r="B9" s="149"/>
      <c r="C9" s="4" t="s">
        <v>210</v>
      </c>
      <c r="D9" s="78" t="s">
        <v>192</v>
      </c>
      <c r="E9" s="60">
        <f>'5.6_Recapitulatif_Tx d''escompte'!D5</f>
        <v>0.032845420000000014</v>
      </c>
    </row>
    <row r="10" spans="2:5" ht="26.25" thickBot="1">
      <c r="B10" s="149"/>
      <c r="C10" s="82" t="s">
        <v>211</v>
      </c>
      <c r="D10" s="83" t="s">
        <v>197</v>
      </c>
      <c r="E10" s="60">
        <f>'5.6_Recapitulatif_Tx d''escompte'!D6</f>
        <v>0.056300000000000024</v>
      </c>
    </row>
    <row r="11" spans="2:5" ht="9" customHeight="1" thickBot="1">
      <c r="B11" s="87"/>
      <c r="C11" s="87"/>
      <c r="D11" s="87"/>
      <c r="E11" s="87"/>
    </row>
    <row r="12" spans="2:5" ht="39" thickBot="1">
      <c r="B12" s="149" t="s">
        <v>212</v>
      </c>
      <c r="C12" s="84" t="s">
        <v>213</v>
      </c>
      <c r="D12" s="85" t="s">
        <v>214</v>
      </c>
      <c r="E12" s="86">
        <f>(E4*(E6+E7)*(1+E8))/(E4+E8)</f>
        <v>0.22492865102881204</v>
      </c>
    </row>
    <row r="13" spans="2:5" ht="82.5" customHeight="1" thickBot="1">
      <c r="B13" s="149"/>
      <c r="C13" s="11" t="s">
        <v>215</v>
      </c>
      <c r="D13" s="12" t="s">
        <v>216</v>
      </c>
      <c r="E13" s="13">
        <f>(E4*(E6+E7)*(1+E9))/(E4+E9)</f>
        <v>0.22927969387533811</v>
      </c>
    </row>
    <row r="14" spans="2:5" ht="63.75" customHeight="1" thickBot="1">
      <c r="B14" s="150"/>
      <c r="C14" s="11" t="s">
        <v>217</v>
      </c>
      <c r="D14" s="12" t="s">
        <v>218</v>
      </c>
      <c r="E14" s="13">
        <f>(E4*(E6+E7)*(1+E10))/(E4+E10)</f>
        <v>0.21905052983392861</v>
      </c>
    </row>
  </sheetData>
  <mergeCells count="2">
    <mergeCell ref="B4:B10"/>
    <mergeCell ref="B12:B14"/>
  </mergeCells>
  <hyperlinks>
    <hyperlink ref="A1" location="'Plan du fichier'!A1" display="'Plan du fichier'!A1"/>
  </hyperlinks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Equation.3" shapeId="2192214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9">
      <selection activeCell="I23" sqref="I23"/>
    </sheetView>
  </sheetViews>
  <sheetFormatPr defaultColWidth="11.421875" defaultRowHeight="12.75"/>
  <cols>
    <col min="2" max="2" width="18.28125" style="0" customWidth="1"/>
    <col min="3" max="3" width="31.57421875" style="0" customWidth="1"/>
  </cols>
  <sheetData>
    <row r="1" ht="12.75">
      <c r="A1" s="1" t="s">
        <v>37</v>
      </c>
    </row>
    <row r="2" ht="13.5" thickBot="1"/>
    <row r="3" spans="2:5" ht="58.5" customHeight="1" thickBot="1">
      <c r="B3" s="51" t="s">
        <v>219</v>
      </c>
      <c r="C3" s="57" t="s">
        <v>220</v>
      </c>
      <c r="D3" s="51" t="s">
        <v>158</v>
      </c>
      <c r="E3" s="58">
        <v>2003</v>
      </c>
    </row>
    <row r="4" spans="2:5" ht="36" customHeight="1" thickBot="1">
      <c r="B4" s="148" t="s">
        <v>204</v>
      </c>
      <c r="C4" s="4" t="s">
        <v>221</v>
      </c>
      <c r="D4" s="80" t="s">
        <v>59</v>
      </c>
      <c r="E4" s="60">
        <f>2_BDD_Effectif_IF_IAN!D14</f>
        <v>0.04</v>
      </c>
    </row>
    <row r="5" spans="2:5" ht="36.75" customHeight="1" thickBot="1">
      <c r="B5" s="149"/>
      <c r="C5" s="4" t="s">
        <v>222</v>
      </c>
      <c r="D5" s="73" t="s">
        <v>207</v>
      </c>
      <c r="E5" s="81" t="s">
        <v>223</v>
      </c>
    </row>
    <row r="6" spans="2:5" ht="23.25" customHeight="1" thickBot="1">
      <c r="B6" s="149"/>
      <c r="C6" s="4" t="s">
        <v>123</v>
      </c>
      <c r="D6" s="8" t="s">
        <v>124</v>
      </c>
      <c r="E6" s="60">
        <f>2_BDD_Effectif_IF_IAN!D6</f>
        <v>0.23931713179913777</v>
      </c>
    </row>
    <row r="7" spans="2:5" ht="39" thickBot="1">
      <c r="B7" s="149"/>
      <c r="C7" s="9" t="s">
        <v>187</v>
      </c>
      <c r="D7" s="10" t="s">
        <v>267</v>
      </c>
      <c r="E7" s="60">
        <f>2_BDD_Effectif_IF_IAN!D7</f>
        <v>0.006975599999999999</v>
      </c>
    </row>
    <row r="8" spans="2:5" ht="37.5" customHeight="1" thickBot="1">
      <c r="B8" s="149"/>
      <c r="C8" s="4" t="s">
        <v>209</v>
      </c>
      <c r="D8" s="78" t="s">
        <v>189</v>
      </c>
      <c r="E8" s="60">
        <f>'5.6_Recapitulatif_Tx d''escompte'!D4</f>
        <v>0.04243371919970856</v>
      </c>
    </row>
    <row r="9" spans="2:5" ht="36.75" customHeight="1" thickBot="1">
      <c r="B9" s="149"/>
      <c r="C9" s="4" t="s">
        <v>210</v>
      </c>
      <c r="D9" s="78" t="s">
        <v>192</v>
      </c>
      <c r="E9" s="60">
        <f>'5.6_Recapitulatif_Tx d''escompte'!D5</f>
        <v>0.032845420000000014</v>
      </c>
    </row>
    <row r="10" spans="2:5" ht="29.25" customHeight="1" thickBot="1">
      <c r="B10" s="149"/>
      <c r="C10" s="4" t="s">
        <v>211</v>
      </c>
      <c r="D10" s="78" t="s">
        <v>197</v>
      </c>
      <c r="E10" s="60">
        <f>'5.6_Recapitulatif_Tx d''escompte'!D6</f>
        <v>0.056300000000000024</v>
      </c>
    </row>
    <row r="11" spans="2:5" ht="39" thickBot="1">
      <c r="B11" s="151"/>
      <c r="C11" s="4" t="s">
        <v>224</v>
      </c>
      <c r="D11" s="88" t="s">
        <v>69</v>
      </c>
      <c r="E11" s="89">
        <f>2_BDD_Effectif_IF_IAN!D19</f>
        <v>25</v>
      </c>
    </row>
    <row r="12" spans="2:5" ht="13.5" thickBot="1">
      <c r="B12" s="90"/>
      <c r="C12" s="91"/>
      <c r="D12" s="92"/>
      <c r="E12" s="102"/>
    </row>
    <row r="13" spans="2:5" ht="51.75" thickBot="1">
      <c r="B13" s="148" t="s">
        <v>225</v>
      </c>
      <c r="C13" s="11" t="s">
        <v>226</v>
      </c>
      <c r="D13" s="12" t="s">
        <v>227</v>
      </c>
      <c r="E13" s="13">
        <f>((E4*(E6+E7)*(1+E8))/(E8)*((1-1/((1+E8)^E11))))</f>
        <v>0.15638639736262408</v>
      </c>
    </row>
    <row r="14" spans="2:5" ht="51.75" customHeight="1" thickBot="1">
      <c r="B14" s="149"/>
      <c r="C14" s="11" t="s">
        <v>228</v>
      </c>
      <c r="D14" s="12" t="s">
        <v>229</v>
      </c>
      <c r="E14" s="13">
        <f>(E4*(E6+E7)*(1+E9))/(E9)*(1-1/(1+E9)^E11)</f>
        <v>0.17169487450126225</v>
      </c>
    </row>
    <row r="15" spans="2:5" ht="39" customHeight="1" thickBot="1">
      <c r="B15" s="150"/>
      <c r="C15" s="11" t="s">
        <v>230</v>
      </c>
      <c r="D15" s="12" t="s">
        <v>231</v>
      </c>
      <c r="E15" s="13">
        <f>(E4*(E6+E7)*(1+E10))/(E10)*((1-1/((1+E10)^E11)))</f>
        <v>0.13783651510736963</v>
      </c>
    </row>
  </sheetData>
  <mergeCells count="2">
    <mergeCell ref="B4:B11"/>
    <mergeCell ref="B13:B15"/>
  </mergeCells>
  <hyperlinks>
    <hyperlink ref="A1" location="'Plan du fichier'!A1" display="'Plan du fichier'!A1"/>
  </hyperlinks>
  <printOptions/>
  <pageMargins left="0.75" right="0.75" top="1" bottom="1" header="0.4921259845" footer="0.4921259845"/>
  <pageSetup horizontalDpi="600" verticalDpi="600" orientation="portrait" paperSize="9" r:id="rId4"/>
  <legacyDrawing r:id="rId3"/>
  <oleObjects>
    <oleObject progId="Equation.3" shapeId="2193428" r:id="rId2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F12" sqref="F12"/>
    </sheetView>
  </sheetViews>
  <sheetFormatPr defaultColWidth="11.421875" defaultRowHeight="12.75"/>
  <cols>
    <col min="2" max="2" width="19.8515625" style="0" customWidth="1"/>
    <col min="3" max="3" width="41.28125" style="0" customWidth="1"/>
  </cols>
  <sheetData>
    <row r="1" ht="12.75">
      <c r="A1" s="1" t="s">
        <v>37</v>
      </c>
    </row>
    <row r="3" ht="13.5" thickBot="1"/>
    <row r="4" spans="2:5" ht="35.25" customHeight="1" thickBot="1">
      <c r="B4" s="51" t="s">
        <v>287</v>
      </c>
      <c r="C4" s="57" t="s">
        <v>288</v>
      </c>
      <c r="D4" s="51" t="s">
        <v>158</v>
      </c>
      <c r="E4" s="51">
        <v>2003</v>
      </c>
    </row>
    <row r="5" spans="2:5" ht="45" customHeight="1" thickBot="1">
      <c r="B5" s="148" t="s">
        <v>212</v>
      </c>
      <c r="C5" s="4" t="s">
        <v>289</v>
      </c>
      <c r="D5" s="8" t="s">
        <v>214</v>
      </c>
      <c r="E5" s="60">
        <f>'6.1_Amortissement_Machines'!E12</f>
        <v>0.22492865102881204</v>
      </c>
    </row>
    <row r="6" spans="2:5" ht="39.75" customHeight="1" thickBot="1">
      <c r="B6" s="149"/>
      <c r="C6" s="4" t="s">
        <v>290</v>
      </c>
      <c r="D6" s="8" t="s">
        <v>216</v>
      </c>
      <c r="E6" s="60">
        <f>'6.1_Amortissement_Machines'!E13</f>
        <v>0.22927969387533811</v>
      </c>
    </row>
    <row r="7" spans="2:5" ht="45" customHeight="1" thickBot="1">
      <c r="B7" s="150"/>
      <c r="C7" s="4" t="s">
        <v>217</v>
      </c>
      <c r="D7" s="8" t="s">
        <v>218</v>
      </c>
      <c r="E7" s="60">
        <f>'6.1_Amortissement_Machines'!E14</f>
        <v>0.21905052983392861</v>
      </c>
    </row>
    <row r="8" spans="2:5" ht="13.5" thickBot="1">
      <c r="B8" s="87"/>
      <c r="C8" s="87"/>
      <c r="D8" s="87"/>
      <c r="E8" s="87"/>
    </row>
    <row r="9" spans="2:5" ht="46.5" customHeight="1" thickBot="1">
      <c r="B9" s="148" t="s">
        <v>225</v>
      </c>
      <c r="C9" s="4" t="s">
        <v>291</v>
      </c>
      <c r="D9" s="8" t="s">
        <v>227</v>
      </c>
      <c r="E9" s="60">
        <f>'6.2_Amortissements_Batiments'!E13</f>
        <v>0.15638639736262408</v>
      </c>
    </row>
    <row r="10" spans="2:5" ht="48" customHeight="1" thickBot="1">
      <c r="B10" s="149"/>
      <c r="C10" s="4" t="s">
        <v>292</v>
      </c>
      <c r="D10" s="8" t="s">
        <v>229</v>
      </c>
      <c r="E10" s="60">
        <f>'6.2_Amortissements_Batiments'!E14</f>
        <v>0.17169487450126225</v>
      </c>
    </row>
    <row r="11" spans="2:5" ht="47.25" customHeight="1" thickBot="1">
      <c r="B11" s="150"/>
      <c r="C11" s="4" t="s">
        <v>293</v>
      </c>
      <c r="D11" s="8" t="s">
        <v>231</v>
      </c>
      <c r="E11" s="60">
        <f>'6.2_Amortissements_Batiments'!E15</f>
        <v>0.13783651510736963</v>
      </c>
    </row>
  </sheetData>
  <mergeCells count="2">
    <mergeCell ref="B5:B7"/>
    <mergeCell ref="B9:B11"/>
  </mergeCells>
  <hyperlinks>
    <hyperlink ref="A1" location="'Plan du fichier'!A1" display="'Plan du fichier'!A1"/>
  </hyperlinks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E27" sqref="E27"/>
    </sheetView>
  </sheetViews>
  <sheetFormatPr defaultColWidth="11.421875" defaultRowHeight="12.75"/>
  <cols>
    <col min="2" max="2" width="20.140625" style="0" customWidth="1"/>
    <col min="3" max="3" width="10.00390625" style="0" customWidth="1"/>
    <col min="4" max="4" width="11.8515625" style="0" customWidth="1"/>
    <col min="5" max="5" width="66.140625" style="0" customWidth="1"/>
    <col min="7" max="7" width="48.28125" style="0" customWidth="1"/>
    <col min="8" max="8" width="58.7109375" style="0" customWidth="1"/>
  </cols>
  <sheetData>
    <row r="1" ht="12.75">
      <c r="A1" s="1" t="s">
        <v>37</v>
      </c>
    </row>
    <row r="2" ht="13.5" thickBot="1"/>
    <row r="3" spans="2:5" ht="23.25" customHeight="1" thickBot="1">
      <c r="B3" s="172" t="s">
        <v>232</v>
      </c>
      <c r="C3" s="173"/>
      <c r="D3" s="173"/>
      <c r="E3" s="174"/>
    </row>
    <row r="4" spans="2:5" ht="12.75">
      <c r="B4" s="175" t="s">
        <v>233</v>
      </c>
      <c r="C4" s="178" t="s">
        <v>234</v>
      </c>
      <c r="D4" s="180" t="s">
        <v>235</v>
      </c>
      <c r="E4" s="167" t="s">
        <v>236</v>
      </c>
    </row>
    <row r="5" spans="2:5" ht="18.75" customHeight="1" thickBot="1">
      <c r="B5" s="176"/>
      <c r="C5" s="179"/>
      <c r="D5" s="181"/>
      <c r="E5" s="168"/>
    </row>
    <row r="6" spans="2:5" ht="12.75">
      <c r="B6" s="176"/>
      <c r="C6" s="182" t="s">
        <v>237</v>
      </c>
      <c r="D6" s="180" t="s">
        <v>238</v>
      </c>
      <c r="E6" s="167" t="s">
        <v>239</v>
      </c>
    </row>
    <row r="7" spans="2:5" ht="13.5" thickBot="1">
      <c r="B7" s="176"/>
      <c r="C7" s="179"/>
      <c r="D7" s="181"/>
      <c r="E7" s="168"/>
    </row>
    <row r="8" spans="2:5" ht="11.25" customHeight="1">
      <c r="B8" s="176"/>
      <c r="C8" s="182" t="s">
        <v>240</v>
      </c>
      <c r="D8" s="180" t="s">
        <v>241</v>
      </c>
      <c r="E8" s="167" t="s">
        <v>242</v>
      </c>
    </row>
    <row r="9" spans="2:5" ht="9.75" customHeight="1" thickBot="1">
      <c r="B9" s="176"/>
      <c r="C9" s="179"/>
      <c r="D9" s="181"/>
      <c r="E9" s="168"/>
    </row>
    <row r="10" spans="2:5" ht="12.75">
      <c r="B10" s="176"/>
      <c r="C10" s="169" t="s">
        <v>243</v>
      </c>
      <c r="D10" s="163" t="s">
        <v>244</v>
      </c>
      <c r="E10" s="171" t="s">
        <v>245</v>
      </c>
    </row>
    <row r="11" spans="2:5" ht="17.25" customHeight="1" thickBot="1">
      <c r="B11" s="177"/>
      <c r="C11" s="170"/>
      <c r="D11" s="164"/>
      <c r="E11" s="168"/>
    </row>
    <row r="12" spans="2:5" ht="23.25" customHeight="1" thickBot="1">
      <c r="B12" s="160" t="s">
        <v>246</v>
      </c>
      <c r="C12" s="94" t="s">
        <v>247</v>
      </c>
      <c r="D12" s="95" t="s">
        <v>248</v>
      </c>
      <c r="E12" s="96" t="s">
        <v>249</v>
      </c>
    </row>
    <row r="13" spans="2:5" ht="18.75" customHeight="1" thickBot="1">
      <c r="B13" s="140"/>
      <c r="C13" s="94" t="s">
        <v>250</v>
      </c>
      <c r="D13" s="95" t="s">
        <v>251</v>
      </c>
      <c r="E13" s="96" t="s">
        <v>252</v>
      </c>
    </row>
    <row r="14" spans="2:5" ht="21.75" customHeight="1" thickBot="1">
      <c r="B14" s="140"/>
      <c r="C14" s="97" t="s">
        <v>253</v>
      </c>
      <c r="D14" s="95" t="s">
        <v>254</v>
      </c>
      <c r="E14" s="96" t="s">
        <v>255</v>
      </c>
    </row>
    <row r="15" spans="2:5" ht="12.75">
      <c r="B15" s="140"/>
      <c r="C15" s="161" t="s">
        <v>256</v>
      </c>
      <c r="D15" s="163" t="s">
        <v>257</v>
      </c>
      <c r="E15" s="165" t="s">
        <v>258</v>
      </c>
    </row>
    <row r="16" spans="2:5" ht="11.25" customHeight="1" thickBot="1">
      <c r="B16" s="140"/>
      <c r="C16" s="162"/>
      <c r="D16" s="164"/>
      <c r="E16" s="166"/>
    </row>
    <row r="17" spans="2:5" ht="11.25" customHeight="1">
      <c r="B17" s="152" t="s">
        <v>259</v>
      </c>
      <c r="C17" s="154" t="s">
        <v>260</v>
      </c>
      <c r="D17" s="154" t="s">
        <v>261</v>
      </c>
      <c r="E17" s="157" t="s">
        <v>262</v>
      </c>
    </row>
    <row r="18" spans="2:5" ht="12" customHeight="1">
      <c r="B18" s="140"/>
      <c r="C18" s="155"/>
      <c r="D18" s="155"/>
      <c r="E18" s="158"/>
    </row>
    <row r="19" spans="2:5" ht="9" customHeight="1">
      <c r="B19" s="140"/>
      <c r="C19" s="155"/>
      <c r="D19" s="155"/>
      <c r="E19" s="158"/>
    </row>
    <row r="20" spans="2:5" ht="9" customHeight="1" thickBot="1">
      <c r="B20" s="153"/>
      <c r="C20" s="156"/>
      <c r="D20" s="156"/>
      <c r="E20" s="159"/>
    </row>
  </sheetData>
  <mergeCells count="22">
    <mergeCell ref="B3:E3"/>
    <mergeCell ref="B4:B11"/>
    <mergeCell ref="C4:C5"/>
    <mergeCell ref="D4:D5"/>
    <mergeCell ref="E4:E5"/>
    <mergeCell ref="C6:C7"/>
    <mergeCell ref="D6:D7"/>
    <mergeCell ref="E6:E7"/>
    <mergeCell ref="C8:C9"/>
    <mergeCell ref="D8:D9"/>
    <mergeCell ref="E8:E9"/>
    <mergeCell ref="C10:C11"/>
    <mergeCell ref="D10:D11"/>
    <mergeCell ref="E10:E11"/>
    <mergeCell ref="B12:B16"/>
    <mergeCell ref="C15:C16"/>
    <mergeCell ref="D15:D16"/>
    <mergeCell ref="E15:E16"/>
    <mergeCell ref="B17:B20"/>
    <mergeCell ref="C17:C20"/>
    <mergeCell ref="D17:D20"/>
    <mergeCell ref="E17:E20"/>
  </mergeCells>
  <hyperlinks>
    <hyperlink ref="A1" location="'Plan du fichier'!A1" display="'Plan du fichier'!A1"/>
  </hyperlinks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4">
      <selection activeCell="E31" sqref="E31"/>
    </sheetView>
  </sheetViews>
  <sheetFormatPr defaultColWidth="11.421875" defaultRowHeight="12.75"/>
  <cols>
    <col min="2" max="2" width="22.421875" style="0" customWidth="1"/>
    <col min="3" max="3" width="33.140625" style="0" customWidth="1"/>
    <col min="4" max="4" width="19.57421875" style="0" customWidth="1"/>
  </cols>
  <sheetData>
    <row r="1" ht="12.75">
      <c r="A1" s="1" t="s">
        <v>37</v>
      </c>
    </row>
    <row r="3" ht="13.5" thickBot="1"/>
    <row r="4" spans="2:5" ht="30.75" customHeight="1" thickBot="1">
      <c r="B4" s="51" t="s">
        <v>263</v>
      </c>
      <c r="C4" s="52" t="s">
        <v>264</v>
      </c>
      <c r="D4" s="51" t="s">
        <v>158</v>
      </c>
      <c r="E4" s="51">
        <v>2003</v>
      </c>
    </row>
    <row r="5" spans="2:5" ht="16.5" thickBot="1">
      <c r="B5" s="148" t="s">
        <v>204</v>
      </c>
      <c r="C5" s="11" t="s">
        <v>41</v>
      </c>
      <c r="D5" s="7" t="s">
        <v>42</v>
      </c>
      <c r="E5" s="98">
        <f>2_BDD_Effectif_IF_IAN!D5</f>
        <v>0.006</v>
      </c>
    </row>
    <row r="6" spans="2:5" ht="27" customHeight="1" thickBot="1">
      <c r="B6" s="149"/>
      <c r="C6" s="11" t="s">
        <v>188</v>
      </c>
      <c r="D6" s="78" t="s">
        <v>189</v>
      </c>
      <c r="E6" s="98">
        <f>'5.6_Recapitulatif_Tx d''escompte'!D4</f>
        <v>0.04243371919970856</v>
      </c>
    </row>
    <row r="7" spans="2:5" ht="35.25" customHeight="1" thickBot="1">
      <c r="B7" s="149"/>
      <c r="C7" s="11" t="s">
        <v>191</v>
      </c>
      <c r="D7" s="71" t="s">
        <v>192</v>
      </c>
      <c r="E7" s="98">
        <f>'5.6_Recapitulatif_Tx d''escompte'!D5</f>
        <v>0.032845420000000014</v>
      </c>
    </row>
    <row r="8" spans="2:5" ht="36.75" customHeight="1" thickBot="1">
      <c r="B8" s="149"/>
      <c r="C8" s="11" t="s">
        <v>265</v>
      </c>
      <c r="D8" s="78" t="s">
        <v>197</v>
      </c>
      <c r="E8" s="98">
        <f>'5.6_Recapitulatif_Tx d''escompte'!D6</f>
        <v>0.056300000000000024</v>
      </c>
    </row>
    <row r="9" spans="2:5" ht="33" customHeight="1" thickBot="1">
      <c r="B9" s="149"/>
      <c r="C9" s="11" t="s">
        <v>123</v>
      </c>
      <c r="D9" s="8" t="s">
        <v>266</v>
      </c>
      <c r="E9" s="98">
        <f>2_BDD_Effectif_IF_IAN!D6</f>
        <v>0.23931713179913777</v>
      </c>
    </row>
    <row r="10" spans="2:5" ht="36" customHeight="1" thickBot="1">
      <c r="B10" s="149"/>
      <c r="C10" s="9" t="s">
        <v>187</v>
      </c>
      <c r="D10" s="10" t="s">
        <v>267</v>
      </c>
      <c r="E10" s="98">
        <f>2_BDD_Effectif_IF_IAN!D7</f>
        <v>0.006975599999999999</v>
      </c>
    </row>
    <row r="11" spans="2:5" ht="40.5" customHeight="1" thickBot="1">
      <c r="B11" s="183"/>
      <c r="C11" s="11" t="s">
        <v>268</v>
      </c>
      <c r="D11" s="8" t="s">
        <v>214</v>
      </c>
      <c r="E11" s="99">
        <f>'6.3_Recapitulatif_Amortissement'!E5</f>
        <v>0.22492865102881204</v>
      </c>
    </row>
    <row r="12" spans="2:5" ht="49.5" customHeight="1" thickBot="1">
      <c r="B12" s="183"/>
      <c r="C12" s="11" t="s">
        <v>269</v>
      </c>
      <c r="D12" s="8" t="s">
        <v>216</v>
      </c>
      <c r="E12" s="99">
        <f>'6.3_Recapitulatif_Amortissement'!E6</f>
        <v>0.22927969387533811</v>
      </c>
    </row>
    <row r="13" spans="2:5" ht="51.75" customHeight="1" thickBot="1">
      <c r="B13" s="183"/>
      <c r="C13" s="11" t="s">
        <v>270</v>
      </c>
      <c r="D13" s="8" t="s">
        <v>218</v>
      </c>
      <c r="E13" s="99">
        <f>'6.3_Recapitulatif_Amortissement'!E7</f>
        <v>0.21905052983392861</v>
      </c>
    </row>
    <row r="14" spans="2:5" ht="39.75" customHeight="1" thickBot="1">
      <c r="B14" s="151"/>
      <c r="C14" s="11" t="s">
        <v>271</v>
      </c>
      <c r="D14" s="78" t="s">
        <v>272</v>
      </c>
      <c r="E14" s="99">
        <f>2_BDD_Effectif_IF_IAN!D17</f>
        <v>0.1225</v>
      </c>
    </row>
    <row r="15" spans="2:5" ht="13.5" thickBot="1">
      <c r="B15" s="90"/>
      <c r="C15" s="40"/>
      <c r="D15" s="102"/>
      <c r="E15" s="102"/>
    </row>
    <row r="16" spans="2:5" ht="26.25" thickBot="1">
      <c r="B16" s="148" t="s">
        <v>273</v>
      </c>
      <c r="C16" s="11" t="s">
        <v>274</v>
      </c>
      <c r="D16" s="8" t="s">
        <v>275</v>
      </c>
      <c r="E16" s="98">
        <f>((1-E11)*(E6-E5+E14*(1+E5)+E10*(1+E5))/((1-E9)*(1+E5))-E14)</f>
        <v>0.046326121038565066</v>
      </c>
    </row>
    <row r="17" spans="2:5" ht="38.25" customHeight="1" thickBot="1">
      <c r="B17" s="149"/>
      <c r="C17" s="11" t="s">
        <v>276</v>
      </c>
      <c r="D17" s="8" t="s">
        <v>277</v>
      </c>
      <c r="E17" s="98">
        <f>((1-E12)*(E7-E5+E14*(1+E5)+E10*(1+E5))/((1-E9)*(1+E5))-E14)</f>
        <v>0.035721498033179394</v>
      </c>
    </row>
    <row r="18" spans="2:5" ht="39" thickBot="1">
      <c r="B18" s="150"/>
      <c r="C18" s="11" t="s">
        <v>278</v>
      </c>
      <c r="D18" s="8" t="s">
        <v>279</v>
      </c>
      <c r="E18" s="98">
        <f>((1-E13)*(E8-E5+E14*(1+E5)+E10*(1+E5))/((1-E9)*(1+E5))-E14)</f>
        <v>0.06175730430769666</v>
      </c>
    </row>
    <row r="19" spans="2:5" ht="13.5" thickBot="1">
      <c r="B19" s="87"/>
      <c r="C19" s="87"/>
      <c r="D19" s="87"/>
      <c r="E19" s="87"/>
    </row>
    <row r="20" spans="2:5" ht="16.5" thickBot="1">
      <c r="B20" s="148" t="s">
        <v>280</v>
      </c>
      <c r="C20" s="11" t="s">
        <v>281</v>
      </c>
      <c r="D20" s="100" t="s">
        <v>71</v>
      </c>
      <c r="E20" s="101">
        <f>2_BDD_Effectif_IF_IAN!D20</f>
        <v>0.35</v>
      </c>
    </row>
    <row r="21" spans="2:5" ht="25.5" customHeight="1" thickBot="1">
      <c r="B21" s="149"/>
      <c r="C21" s="11" t="s">
        <v>282</v>
      </c>
      <c r="D21" s="100" t="s">
        <v>73</v>
      </c>
      <c r="E21" s="101">
        <f>2_BDD_Effectif_IF_IAN!D21</f>
        <v>0.55</v>
      </c>
    </row>
    <row r="22" spans="2:5" ht="16.5" thickBot="1">
      <c r="B22" s="150"/>
      <c r="C22" s="11" t="s">
        <v>283</v>
      </c>
      <c r="D22" s="100" t="s">
        <v>75</v>
      </c>
      <c r="E22" s="101">
        <f>2_BDD_Effectif_IF_IAN!D22</f>
        <v>0.1</v>
      </c>
    </row>
    <row r="23" spans="2:5" ht="13.5" thickBot="1">
      <c r="B23" s="87"/>
      <c r="C23" s="87"/>
      <c r="D23" s="87"/>
      <c r="E23" s="87"/>
    </row>
    <row r="24" spans="2:5" ht="51.75" thickBot="1">
      <c r="B24" s="40" t="s">
        <v>284</v>
      </c>
      <c r="C24" s="11" t="s">
        <v>285</v>
      </c>
      <c r="D24" s="8" t="s">
        <v>286</v>
      </c>
      <c r="E24" s="98">
        <f>(E16*E20)+(E17*E21)+(E18*E22)</f>
        <v>0.04203669671251611</v>
      </c>
    </row>
  </sheetData>
  <mergeCells count="3">
    <mergeCell ref="B20:B22"/>
    <mergeCell ref="B5:B14"/>
    <mergeCell ref="B16:B18"/>
  </mergeCells>
  <hyperlinks>
    <hyperlink ref="A1" location="'Plan du fichier'!A1" display="'Plan du fichier'!A1"/>
  </hyperlinks>
  <printOptions/>
  <pageMargins left="0.75" right="0.75" top="1" bottom="1" header="0.4921259845" footer="0.4921259845"/>
  <pageSetup orientation="portrait" paperSize="9"/>
  <legacyDrawing r:id="rId3"/>
  <oleObjects>
    <oleObject progId="Equation.3" shapeId="2195188" r:id="rId2"/>
  </oleObjects>
</worksheet>
</file>

<file path=xl/worksheets/sheet19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4">
      <selection activeCell="E32" sqref="E32"/>
    </sheetView>
  </sheetViews>
  <sheetFormatPr defaultColWidth="11.421875" defaultRowHeight="12.75"/>
  <cols>
    <col min="2" max="2" width="14.28125" style="0" customWidth="1"/>
    <col min="3" max="3" width="48.7109375" style="0" customWidth="1"/>
  </cols>
  <sheetData>
    <row r="1" ht="12.75">
      <c r="A1" s="1" t="s">
        <v>37</v>
      </c>
    </row>
    <row r="3" ht="13.5" thickBot="1"/>
    <row r="4" spans="2:5" ht="13.5" thickBot="1">
      <c r="B4" s="51" t="s">
        <v>294</v>
      </c>
      <c r="C4" s="51" t="s">
        <v>295</v>
      </c>
      <c r="D4" s="51" t="s">
        <v>158</v>
      </c>
      <c r="E4" s="51">
        <v>2003</v>
      </c>
    </row>
    <row r="5" spans="2:5" ht="16.5" thickBot="1">
      <c r="B5" s="148" t="s">
        <v>204</v>
      </c>
      <c r="C5" s="11" t="s">
        <v>41</v>
      </c>
      <c r="D5" s="7" t="s">
        <v>42</v>
      </c>
      <c r="E5" s="98">
        <f>2_BDD_Effectif_IF_IAN!D5</f>
        <v>0.006</v>
      </c>
    </row>
    <row r="6" spans="2:5" ht="20.25" customHeight="1" thickBot="1">
      <c r="B6" s="149"/>
      <c r="C6" s="11" t="s">
        <v>188</v>
      </c>
      <c r="D6" s="78" t="s">
        <v>189</v>
      </c>
      <c r="E6" s="98">
        <f>'5.6_Recapitulatif_Tx d''escompte'!D4</f>
        <v>0.04243371919970856</v>
      </c>
    </row>
    <row r="7" spans="2:5" ht="30" customHeight="1" thickBot="1">
      <c r="B7" s="149"/>
      <c r="C7" s="11" t="s">
        <v>191</v>
      </c>
      <c r="D7" s="71" t="s">
        <v>192</v>
      </c>
      <c r="E7" s="98">
        <f>'5.6_Recapitulatif_Tx d''escompte'!D5</f>
        <v>0.032845420000000014</v>
      </c>
    </row>
    <row r="8" spans="2:5" ht="22.5" customHeight="1" thickBot="1">
      <c r="B8" s="149"/>
      <c r="C8" s="11" t="s">
        <v>265</v>
      </c>
      <c r="D8" s="78" t="s">
        <v>197</v>
      </c>
      <c r="E8" s="98">
        <f>'5.6_Recapitulatif_Tx d''escompte'!D6</f>
        <v>0.056300000000000024</v>
      </c>
    </row>
    <row r="9" spans="2:5" ht="19.5" thickBot="1">
      <c r="B9" s="149"/>
      <c r="C9" s="11" t="s">
        <v>123</v>
      </c>
      <c r="D9" s="8" t="s">
        <v>266</v>
      </c>
      <c r="E9" s="98">
        <f>2_BDD_Effectif_IF_IAN!D6</f>
        <v>0.23931713179913777</v>
      </c>
    </row>
    <row r="10" spans="2:5" ht="39.75" customHeight="1" thickBot="1">
      <c r="B10" s="149"/>
      <c r="C10" s="9" t="s">
        <v>187</v>
      </c>
      <c r="D10" s="10" t="s">
        <v>267</v>
      </c>
      <c r="E10" s="98">
        <f>2_BDD_Effectif_IF_IAN!D7</f>
        <v>0.006975599999999999</v>
      </c>
    </row>
    <row r="11" spans="2:5" ht="33" customHeight="1" thickBot="1">
      <c r="B11" s="183"/>
      <c r="C11" s="11" t="s">
        <v>296</v>
      </c>
      <c r="D11" s="8" t="s">
        <v>227</v>
      </c>
      <c r="E11" s="99">
        <f>'6.3_Recapitulatif_Amortissement'!E9</f>
        <v>0.15638639736262408</v>
      </c>
    </row>
    <row r="12" spans="2:5" ht="42.75" customHeight="1" thickBot="1">
      <c r="B12" s="183"/>
      <c r="C12" s="11" t="s">
        <v>228</v>
      </c>
      <c r="D12" s="8" t="s">
        <v>229</v>
      </c>
      <c r="E12" s="99">
        <f>'6.3_Recapitulatif_Amortissement'!E10</f>
        <v>0.17169487450126225</v>
      </c>
    </row>
    <row r="13" spans="2:5" ht="36" customHeight="1" thickBot="1">
      <c r="B13" s="183"/>
      <c r="C13" s="11" t="s">
        <v>297</v>
      </c>
      <c r="D13" s="8" t="s">
        <v>231</v>
      </c>
      <c r="E13" s="99">
        <f>'6.3_Recapitulatif_Amortissement'!E11</f>
        <v>0.13783651510736963</v>
      </c>
    </row>
    <row r="14" spans="2:5" ht="38.25" customHeight="1" thickBot="1">
      <c r="B14" s="151"/>
      <c r="C14" s="11" t="s">
        <v>298</v>
      </c>
      <c r="D14" s="78" t="s">
        <v>299</v>
      </c>
      <c r="E14" s="99">
        <f>2_BDD_Effectif_IF_IAN!D16</f>
        <v>0.0361</v>
      </c>
    </row>
    <row r="15" spans="2:5" ht="9" customHeight="1" thickBot="1">
      <c r="B15" s="90"/>
      <c r="C15" s="90"/>
      <c r="D15" s="90"/>
      <c r="E15" s="87"/>
    </row>
    <row r="16" spans="2:5" ht="32.25" customHeight="1" thickBot="1">
      <c r="B16" s="148" t="s">
        <v>300</v>
      </c>
      <c r="C16" s="11" t="s">
        <v>301</v>
      </c>
      <c r="D16" s="8" t="s">
        <v>302</v>
      </c>
      <c r="E16" s="98">
        <f>((1-E11)*(E6-E5+E14*(1+E5)+E10*(1+E5))/((1-E9)*(1+E5))-E14)</f>
        <v>0.05183655019574226</v>
      </c>
    </row>
    <row r="17" spans="2:5" ht="40.5" customHeight="1" thickBot="1">
      <c r="B17" s="149"/>
      <c r="C17" s="11" t="s">
        <v>303</v>
      </c>
      <c r="D17" s="8" t="s">
        <v>304</v>
      </c>
      <c r="E17" s="98">
        <f>((1-E12)*(E7-E5+E14*(1+E5)+E10*(1+E5))/((1-E9)*(1+E5))-E14)</f>
        <v>0.03986242822934117</v>
      </c>
    </row>
    <row r="18" spans="2:5" ht="40.5" customHeight="1" thickBot="1">
      <c r="B18" s="150"/>
      <c r="C18" s="11" t="s">
        <v>305</v>
      </c>
      <c r="D18" s="8" t="s">
        <v>306</v>
      </c>
      <c r="E18" s="98">
        <f>((1-E13)*(E8-E5+E14*(1+E5)+E10*(1+E5))/((1-E9)*(1+E5))-E14)</f>
        <v>0.06939256070965313</v>
      </c>
    </row>
    <row r="19" spans="2:5" ht="9" customHeight="1" thickBot="1">
      <c r="B19" s="90"/>
      <c r="C19" s="90"/>
      <c r="D19" s="90"/>
      <c r="E19" s="87"/>
    </row>
    <row r="20" spans="2:5" ht="16.5" thickBot="1">
      <c r="B20" s="148" t="s">
        <v>280</v>
      </c>
      <c r="C20" s="11" t="s">
        <v>281</v>
      </c>
      <c r="D20" s="100" t="s">
        <v>71</v>
      </c>
      <c r="E20" s="101">
        <f>2_BDD_Effectif_IF_IAN!D20</f>
        <v>0.35</v>
      </c>
    </row>
    <row r="21" spans="2:5" ht="18.75" customHeight="1" thickBot="1">
      <c r="B21" s="149"/>
      <c r="C21" s="11" t="s">
        <v>282</v>
      </c>
      <c r="D21" s="100" t="s">
        <v>73</v>
      </c>
      <c r="E21" s="101">
        <f>2_BDD_Effectif_IF_IAN!D21</f>
        <v>0.55</v>
      </c>
    </row>
    <row r="22" spans="2:5" ht="16.5" thickBot="1">
      <c r="B22" s="150"/>
      <c r="C22" s="11" t="s">
        <v>283</v>
      </c>
      <c r="D22" s="100" t="s">
        <v>75</v>
      </c>
      <c r="E22" s="101">
        <f>2_BDD_Effectif_IF_IAN!D22</f>
        <v>0.1</v>
      </c>
    </row>
    <row r="23" spans="2:5" ht="9" customHeight="1" thickBot="1">
      <c r="B23" s="87"/>
      <c r="C23" s="87"/>
      <c r="D23" s="87"/>
      <c r="E23" s="87"/>
    </row>
    <row r="24" spans="2:5" ht="54" customHeight="1" thickBot="1">
      <c r="B24" s="40" t="s">
        <v>284</v>
      </c>
      <c r="C24" s="11" t="s">
        <v>307</v>
      </c>
      <c r="D24" s="8" t="s">
        <v>308</v>
      </c>
      <c r="E24" s="98">
        <f>(E16*E20)+(E17*E21)+(E18*E22)</f>
        <v>0.04700638416561275</v>
      </c>
    </row>
  </sheetData>
  <mergeCells count="3">
    <mergeCell ref="B20:B22"/>
    <mergeCell ref="B5:B14"/>
    <mergeCell ref="B16:B18"/>
  </mergeCells>
  <hyperlinks>
    <hyperlink ref="A1" location="'Plan du fichier'!A1" display="'Plan du fichier'!A1"/>
  </hyperlinks>
  <printOptions/>
  <pageMargins left="0.75" right="0.75" top="1" bottom="1" header="0.4921259845" footer="0.4921259845"/>
  <pageSetup orientation="portrait" paperSize="9"/>
  <legacyDrawing r:id="rId3"/>
  <oleObjects>
    <oleObject progId="Equation.3" shapeId="219599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4:D37"/>
  <sheetViews>
    <sheetView workbookViewId="0" topLeftCell="A1">
      <selection activeCell="C2" sqref="C2"/>
    </sheetView>
  </sheetViews>
  <sheetFormatPr defaultColWidth="11.421875" defaultRowHeight="12.75"/>
  <cols>
    <col min="1" max="1" width="3.421875" style="0" customWidth="1"/>
    <col min="2" max="2" width="16.7109375" style="0" customWidth="1"/>
    <col min="3" max="3" width="69.00390625" style="0" customWidth="1"/>
    <col min="4" max="4" width="26.00390625" style="0" customWidth="1"/>
  </cols>
  <sheetData>
    <row r="3" ht="13.5" thickBot="1"/>
    <row r="4" spans="2:4" ht="13.5" thickBot="1">
      <c r="B4" s="65" t="s">
        <v>161</v>
      </c>
      <c r="C4" s="141" t="s">
        <v>162</v>
      </c>
      <c r="D4" s="142"/>
    </row>
    <row r="5" spans="2:4" ht="13.5" thickBot="1">
      <c r="B5" s="141" t="s">
        <v>163</v>
      </c>
      <c r="C5" s="143"/>
      <c r="D5" s="144"/>
    </row>
    <row r="6" spans="2:4" ht="26.25" thickBot="1">
      <c r="B6" s="3" t="s">
        <v>164</v>
      </c>
      <c r="C6" s="31" t="s">
        <v>165</v>
      </c>
      <c r="D6" s="66" t="s">
        <v>166</v>
      </c>
    </row>
    <row r="7" spans="2:4" ht="13.5" thickBot="1">
      <c r="B7" s="42">
        <v>1.1</v>
      </c>
      <c r="C7" s="67" t="s">
        <v>167</v>
      </c>
      <c r="D7" s="68" t="s">
        <v>168</v>
      </c>
    </row>
    <row r="8" spans="2:4" ht="13.5" thickBot="1">
      <c r="B8" s="42">
        <v>1.2</v>
      </c>
      <c r="C8" s="67" t="s">
        <v>169</v>
      </c>
      <c r="D8" s="68" t="s">
        <v>170</v>
      </c>
    </row>
    <row r="9" spans="2:4" ht="13.5" thickBot="1">
      <c r="B9" s="42">
        <v>2</v>
      </c>
      <c r="C9" s="67" t="s">
        <v>171</v>
      </c>
      <c r="D9" s="69" t="s">
        <v>180</v>
      </c>
    </row>
    <row r="10" spans="2:4" ht="13.5" thickBot="1">
      <c r="B10" s="42">
        <v>3</v>
      </c>
      <c r="C10" s="67" t="s">
        <v>172</v>
      </c>
      <c r="D10" s="69" t="s">
        <v>173</v>
      </c>
    </row>
    <row r="11" spans="2:4" ht="13.5" thickBot="1">
      <c r="B11" s="42">
        <v>4</v>
      </c>
      <c r="C11" s="67" t="s">
        <v>174</v>
      </c>
      <c r="D11" s="69" t="s">
        <v>175</v>
      </c>
    </row>
    <row r="12" spans="2:4" ht="13.5" thickBot="1">
      <c r="B12" s="42">
        <v>5.1</v>
      </c>
      <c r="C12" s="67" t="s">
        <v>176</v>
      </c>
      <c r="D12" s="70" t="s">
        <v>177</v>
      </c>
    </row>
    <row r="13" spans="2:4" ht="13.5" thickBot="1">
      <c r="B13" s="42">
        <v>5.2</v>
      </c>
      <c r="C13" s="67" t="s">
        <v>178</v>
      </c>
      <c r="D13" s="70" t="s">
        <v>179</v>
      </c>
    </row>
    <row r="14" spans="2:4" ht="13.5" thickBot="1">
      <c r="B14" s="42">
        <v>5.3</v>
      </c>
      <c r="C14" s="67" t="s">
        <v>516</v>
      </c>
      <c r="D14" s="136" t="s">
        <v>17</v>
      </c>
    </row>
    <row r="15" spans="2:4" ht="13.5" thickBot="1">
      <c r="B15" s="42">
        <v>5.4</v>
      </c>
      <c r="C15" s="67" t="s">
        <v>517</v>
      </c>
      <c r="D15" s="136" t="s">
        <v>18</v>
      </c>
    </row>
    <row r="16" spans="2:4" ht="13.5" thickBot="1">
      <c r="B16" s="42">
        <v>5.5</v>
      </c>
      <c r="C16" s="67" t="s">
        <v>518</v>
      </c>
      <c r="D16" s="136" t="s">
        <v>19</v>
      </c>
    </row>
    <row r="17" spans="2:4" ht="13.5" thickBot="1">
      <c r="B17" s="42">
        <v>5.6</v>
      </c>
      <c r="C17" s="67" t="s">
        <v>519</v>
      </c>
      <c r="D17" s="136" t="s">
        <v>20</v>
      </c>
    </row>
    <row r="18" spans="2:4" ht="13.5" thickBot="1">
      <c r="B18" s="42">
        <v>6.1</v>
      </c>
      <c r="C18" s="67" t="s">
        <v>520</v>
      </c>
      <c r="D18" s="136" t="s">
        <v>21</v>
      </c>
    </row>
    <row r="19" spans="2:4" ht="13.5" thickBot="1">
      <c r="B19" s="42">
        <v>6.2</v>
      </c>
      <c r="C19" s="67" t="s">
        <v>521</v>
      </c>
      <c r="D19" s="136" t="s">
        <v>22</v>
      </c>
    </row>
    <row r="20" spans="2:4" ht="13.5" thickBot="1">
      <c r="B20" s="42">
        <v>6.3</v>
      </c>
      <c r="C20" s="67" t="s">
        <v>522</v>
      </c>
      <c r="D20" s="70" t="s">
        <v>523</v>
      </c>
    </row>
    <row r="21" spans="2:4" ht="13.5" thickBot="1">
      <c r="B21" s="42">
        <v>7</v>
      </c>
      <c r="C21" s="67" t="s">
        <v>524</v>
      </c>
      <c r="D21" s="70" t="s">
        <v>525</v>
      </c>
    </row>
    <row r="22" spans="2:4" ht="13.5" thickBot="1">
      <c r="B22" s="42">
        <v>7.1</v>
      </c>
      <c r="C22" s="67" t="s">
        <v>526</v>
      </c>
      <c r="D22" s="136" t="s">
        <v>23</v>
      </c>
    </row>
    <row r="23" spans="2:4" ht="13.5" thickBot="1">
      <c r="B23" s="42">
        <v>7.2</v>
      </c>
      <c r="C23" s="67" t="s">
        <v>527</v>
      </c>
      <c r="D23" s="136" t="s">
        <v>24</v>
      </c>
    </row>
    <row r="24" spans="2:4" ht="13.5" thickBot="1">
      <c r="B24" s="42">
        <v>7.3</v>
      </c>
      <c r="C24" s="67" t="s">
        <v>528</v>
      </c>
      <c r="D24" s="136" t="s">
        <v>25</v>
      </c>
    </row>
    <row r="25" spans="2:4" ht="13.5" thickBot="1">
      <c r="B25" s="42">
        <v>7.4</v>
      </c>
      <c r="C25" s="67" t="s">
        <v>529</v>
      </c>
      <c r="D25" s="136" t="s">
        <v>26</v>
      </c>
    </row>
    <row r="26" spans="2:4" ht="13.5" thickBot="1">
      <c r="B26" s="42">
        <v>7.5</v>
      </c>
      <c r="C26" s="67" t="s">
        <v>530</v>
      </c>
      <c r="D26" s="136" t="s">
        <v>27</v>
      </c>
    </row>
    <row r="27" spans="2:4" ht="13.5" thickBot="1">
      <c r="B27" s="42">
        <v>7.6</v>
      </c>
      <c r="C27" s="67" t="s">
        <v>531</v>
      </c>
      <c r="D27" s="136" t="s">
        <v>28</v>
      </c>
    </row>
    <row r="28" spans="2:4" ht="13.5" thickBot="1">
      <c r="B28" s="42">
        <v>7.7</v>
      </c>
      <c r="C28" s="67" t="s">
        <v>532</v>
      </c>
      <c r="D28" s="136" t="s">
        <v>29</v>
      </c>
    </row>
    <row r="29" spans="2:4" ht="13.5" thickBot="1">
      <c r="B29" s="42">
        <v>7.8</v>
      </c>
      <c r="C29" s="67" t="s">
        <v>533</v>
      </c>
      <c r="D29" s="136" t="s">
        <v>30</v>
      </c>
    </row>
    <row r="30" spans="2:4" ht="13.5" thickBot="1">
      <c r="B30" s="42">
        <v>7.9</v>
      </c>
      <c r="C30" s="67" t="s">
        <v>534</v>
      </c>
      <c r="D30" s="136" t="s">
        <v>31</v>
      </c>
    </row>
    <row r="31" spans="2:4" ht="13.5" thickBot="1">
      <c r="B31" s="42">
        <v>8</v>
      </c>
      <c r="C31" s="67" t="s">
        <v>535</v>
      </c>
      <c r="D31" s="136" t="s">
        <v>32</v>
      </c>
    </row>
    <row r="32" spans="2:4" ht="13.5" thickBot="1">
      <c r="B32" s="42">
        <v>9</v>
      </c>
      <c r="C32" s="67" t="s">
        <v>536</v>
      </c>
      <c r="D32" s="136" t="s">
        <v>537</v>
      </c>
    </row>
    <row r="33" spans="2:4" ht="13.5" thickBot="1">
      <c r="B33" s="42">
        <v>10</v>
      </c>
      <c r="C33" s="67" t="s">
        <v>538</v>
      </c>
      <c r="D33" s="136" t="s">
        <v>33</v>
      </c>
    </row>
    <row r="34" spans="2:4" ht="13.5" thickBot="1">
      <c r="B34" s="42">
        <v>11</v>
      </c>
      <c r="C34" s="67" t="s">
        <v>539</v>
      </c>
      <c r="D34" s="69" t="s">
        <v>34</v>
      </c>
    </row>
    <row r="35" spans="2:4" ht="13.5" thickBot="1">
      <c r="B35" s="42">
        <v>12</v>
      </c>
      <c r="C35" s="67" t="s">
        <v>540</v>
      </c>
      <c r="D35" s="69" t="s">
        <v>35</v>
      </c>
    </row>
    <row r="36" spans="2:4" ht="13.5" thickBot="1">
      <c r="B36" s="42">
        <v>13</v>
      </c>
      <c r="C36" s="67" t="s">
        <v>541</v>
      </c>
      <c r="D36" s="69" t="s">
        <v>36</v>
      </c>
    </row>
    <row r="37" spans="2:4" ht="13.5" thickBot="1">
      <c r="B37" s="42">
        <v>14</v>
      </c>
      <c r="C37" s="67" t="s">
        <v>542</v>
      </c>
      <c r="D37" s="69" t="s">
        <v>4</v>
      </c>
    </row>
  </sheetData>
  <mergeCells count="2">
    <mergeCell ref="C4:D4"/>
    <mergeCell ref="B5:D5"/>
  </mergeCells>
  <hyperlinks>
    <hyperlink ref="D7" location="'1.1_Hypothèses'!A1" display="'1.1_Hypothèses'!A1"/>
    <hyperlink ref="D8" location="'1.2_Etapes'!A1" display="'1.2_Etapes'!A1"/>
    <hyperlink ref="D10" location="'3_Calcul de i'!A1" display="'3_Calcul de i'!A1"/>
    <hyperlink ref="D11" location="'4_Calcul de s'!A1" display="'4_Calcul de s'!A1"/>
    <hyperlink ref="D12" location="'5.1_Calcul de Z effectif'!A1" display="'5.1_Calcul de Z effectif'!A1"/>
    <hyperlink ref="D13" location="'5.2_Tx d''escompte_dette'!A1" display="'5.2_Tx d'escompte_dette'!A1"/>
    <hyperlink ref="D9" location="'2_BDD_Effectif_IF_IAN'!A1" display="'2_BDD_Effectif_IF_IAN'!A1"/>
    <hyperlink ref="D20" location="'6.3_Recapitulatif_Amortissement'!A1" display="'6.3_Recapitulatif_Amortissement'!A1"/>
    <hyperlink ref="D21" location="'7_Etapes pour p'!A1" display="'7_Etapes pour p'!A1"/>
    <hyperlink ref="D32" location="'9_Calcul_EMTR'!A1" display="'9_Calcul_EMTR'!A1"/>
    <hyperlink ref="D14" location="'5.3_Tx d''escompte_RE'!A1" display="'5.3_Tx d''escompte_RE'!A1"/>
    <hyperlink ref="D15" location="'5.4_Tx d''escompte_NE_M1'!A1" display="'5.4_Tx d''escompte_NE_M1'!A1"/>
    <hyperlink ref="D16" location="'5.5_Tx d''escompte_NE_M2'!A1" display="'5.5_Tx d''escompte_NE_M2'!A1"/>
    <hyperlink ref="D17" location="'5.6_Recapitulatif_Tx d''escompte'!A1" display="'5.6_Recapitulatif_Tx d''escompte'!A1"/>
    <hyperlink ref="D18" location="'6.1_Amortissement_Machines'!A1" display="'6.1_Amortissement_Machines'!A1"/>
    <hyperlink ref="D19" location="'6.2_Amortissements_Batiments'!A1" display="'6.2_Amortissements_Batiments'!A1"/>
    <hyperlink ref="D22" location="'7.1_p_Machines_3 formes de fin'!A1" display="'7.1_p_Machines_3 formes de fin'!A1"/>
    <hyperlink ref="D23" location="'7.2_p_Batiments_3 formes de fin'!A1" display="'7.2_p_Batiments_3 formes de fin'!A1"/>
    <hyperlink ref="D24" location="'7.3_p_stocks_3 formes de fin'!A1" display="'7.3_p_stocks_3 formes de fin'!A1"/>
    <hyperlink ref="D25" location="'7.4_recap_p_actifs'!A1" display="'7.4_recap_p_actifs'!A1"/>
    <hyperlink ref="D26" location="'7.5_p_dette'!A1" display="'7.5_p_dette'!A1"/>
    <hyperlink ref="D27" location="'7.6_p_RE'!A1" display="'7.6_p_RE'!A1"/>
    <hyperlink ref="D28" location="'7.7_p_NE'!A1" display="'7.7_p_NE'!A1"/>
    <hyperlink ref="D29" location="'7.8_Recap_p_forme de fin'!A1" display="'7.8_Recap_p_forme de fin'!A1"/>
    <hyperlink ref="D30" location="'7.9_Recap_p'!A1" display="'7.9_Recap_p'!A1"/>
    <hyperlink ref="D31" location="'8_Recap_coin fiscal'!A1" display="'8_Recap_coin fiscal'!A1"/>
    <hyperlink ref="D33" location="'10_Recap_EMTR'!A1" display="'10_Recap_EMTR'!A1"/>
    <hyperlink ref="D34" location="'11_Recapitulatif_Global'!A1" display="'11_Recapitulatif_Global'!A1"/>
    <hyperlink ref="D35" location="'12_Recap_par type d''invest'!A1" display="'12_Recap_par type d''invest'!A1"/>
    <hyperlink ref="D36" location="'13_Recap_par forme de fin'!A1" display="'13_Recap_par forme de fin'!A1"/>
    <hyperlink ref="D37" location="'14_Résultats_2003'!A1" display="'14_Résultats_2003'!A1"/>
  </hyperlinks>
  <printOptions/>
  <pageMargins left="0.75" right="0.75" top="1" bottom="1" header="0.4921259845" footer="0.4921259845"/>
  <pageSetup orientation="portrait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5">
      <selection activeCell="E38" sqref="E38"/>
    </sheetView>
  </sheetViews>
  <sheetFormatPr defaultColWidth="11.421875" defaultRowHeight="12.75"/>
  <cols>
    <col min="2" max="2" width="14.8515625" style="0" customWidth="1"/>
    <col min="3" max="3" width="48.8515625" style="0" customWidth="1"/>
  </cols>
  <sheetData>
    <row r="1" ht="12.75">
      <c r="A1" s="1" t="s">
        <v>37</v>
      </c>
    </row>
    <row r="3" ht="13.5" thickBot="1"/>
    <row r="4" spans="2:5" ht="13.5" thickBot="1">
      <c r="B4" s="51" t="s">
        <v>309</v>
      </c>
      <c r="C4" s="93" t="s">
        <v>310</v>
      </c>
      <c r="D4" s="51" t="s">
        <v>158</v>
      </c>
      <c r="E4" s="51">
        <v>2003</v>
      </c>
    </row>
    <row r="5" spans="2:5" ht="16.5" thickBot="1">
      <c r="B5" s="148" t="s">
        <v>204</v>
      </c>
      <c r="C5" s="11" t="s">
        <v>41</v>
      </c>
      <c r="D5" s="7" t="s">
        <v>42</v>
      </c>
      <c r="E5" s="103">
        <f>2_BDD_Effectif_IF_IAN!D5</f>
        <v>0.006</v>
      </c>
    </row>
    <row r="6" spans="2:5" ht="23.25" customHeight="1" thickBot="1">
      <c r="B6" s="183"/>
      <c r="C6" s="11" t="s">
        <v>188</v>
      </c>
      <c r="D6" s="78" t="s">
        <v>189</v>
      </c>
      <c r="E6" s="104">
        <f>'5.6_Recapitulatif_Tx d''escompte'!D4</f>
        <v>0.04243371919970856</v>
      </c>
    </row>
    <row r="7" spans="2:5" ht="36.75" customHeight="1" thickBot="1">
      <c r="B7" s="183"/>
      <c r="C7" s="11" t="s">
        <v>191</v>
      </c>
      <c r="D7" s="71" t="s">
        <v>192</v>
      </c>
      <c r="E7" s="104">
        <f>'5.6_Recapitulatif_Tx d''escompte'!D5</f>
        <v>0.032845420000000014</v>
      </c>
    </row>
    <row r="8" spans="2:5" ht="39" customHeight="1" thickBot="1">
      <c r="B8" s="183"/>
      <c r="C8" s="11" t="s">
        <v>265</v>
      </c>
      <c r="D8" s="78" t="s">
        <v>197</v>
      </c>
      <c r="E8" s="104">
        <f>'5.6_Recapitulatif_Tx d''escompte'!D6</f>
        <v>0.056300000000000024</v>
      </c>
    </row>
    <row r="9" spans="2:5" ht="21.75" customHeight="1" thickBot="1">
      <c r="B9" s="183"/>
      <c r="C9" s="11" t="s">
        <v>123</v>
      </c>
      <c r="D9" s="8" t="s">
        <v>266</v>
      </c>
      <c r="E9" s="103">
        <f>2_BDD_Effectif_IF_IAN!D6</f>
        <v>0.23931713179913777</v>
      </c>
    </row>
    <row r="10" spans="2:5" ht="21.75" customHeight="1" thickBot="1">
      <c r="B10" s="183"/>
      <c r="C10" s="11" t="s">
        <v>543</v>
      </c>
      <c r="D10" s="8" t="s">
        <v>10</v>
      </c>
      <c r="E10" s="103">
        <f>2_BDD_Effectif_IF_IAN!D7</f>
        <v>0.006975599999999999</v>
      </c>
    </row>
    <row r="11" spans="2:5" ht="13.5" thickBot="1">
      <c r="B11" s="151"/>
      <c r="C11" s="105" t="s">
        <v>66</v>
      </c>
      <c r="D11" s="88" t="s">
        <v>67</v>
      </c>
      <c r="E11" s="103">
        <f>2_BDD_Effectif_IF_IAN!D18</f>
        <v>0</v>
      </c>
    </row>
    <row r="12" spans="2:5" ht="8.25" customHeight="1" thickBot="1">
      <c r="B12" s="87"/>
      <c r="C12" s="87"/>
      <c r="D12" s="87"/>
      <c r="E12" s="87"/>
    </row>
    <row r="13" spans="2:5" ht="27" customHeight="1" thickBot="1">
      <c r="B13" s="148" t="s">
        <v>311</v>
      </c>
      <c r="C13" s="11" t="s">
        <v>312</v>
      </c>
      <c r="D13" s="8" t="s">
        <v>313</v>
      </c>
      <c r="E13" s="104">
        <f>((E6-E5)/((1-E9)*(1+E5)))+(E10/(1-E9))</f>
        <v>0.05678058818099944</v>
      </c>
    </row>
    <row r="14" spans="2:5" ht="36" customHeight="1" thickBot="1">
      <c r="B14" s="149"/>
      <c r="C14" s="11" t="s">
        <v>314</v>
      </c>
      <c r="D14" s="8" t="s">
        <v>315</v>
      </c>
      <c r="E14" s="104">
        <f>(E7-E5)/((1-E9)*(1+E5))+(E10/(1-E9))</f>
        <v>0.04425090870089784</v>
      </c>
    </row>
    <row r="15" spans="2:5" ht="30.75" customHeight="1" thickBot="1">
      <c r="B15" s="150"/>
      <c r="C15" s="11" t="s">
        <v>316</v>
      </c>
      <c r="D15" s="8" t="s">
        <v>317</v>
      </c>
      <c r="E15" s="104">
        <f>(E8-E5)/((1-E9)*(1+E5))+(E10/(1-E9))</f>
        <v>0.07490059574334376</v>
      </c>
    </row>
    <row r="16" spans="2:5" ht="7.5" customHeight="1" thickBot="1">
      <c r="B16" s="87"/>
      <c r="C16" s="87"/>
      <c r="D16" s="87"/>
      <c r="E16" s="87"/>
    </row>
    <row r="17" spans="2:5" ht="16.5" thickBot="1">
      <c r="B17" s="148" t="s">
        <v>280</v>
      </c>
      <c r="C17" s="11" t="s">
        <v>281</v>
      </c>
      <c r="D17" s="100" t="s">
        <v>71</v>
      </c>
      <c r="E17" s="101">
        <f>2_BDD_Effectif_IF_IAN!D20</f>
        <v>0.35</v>
      </c>
    </row>
    <row r="18" spans="2:5" ht="30" customHeight="1" thickBot="1">
      <c r="B18" s="149"/>
      <c r="C18" s="11" t="s">
        <v>282</v>
      </c>
      <c r="D18" s="100" t="s">
        <v>73</v>
      </c>
      <c r="E18" s="101">
        <f>2_BDD_Effectif_IF_IAN!D21</f>
        <v>0.55</v>
      </c>
    </row>
    <row r="19" spans="2:5" ht="20.25" customHeight="1" thickBot="1">
      <c r="B19" s="150"/>
      <c r="C19" s="11" t="s">
        <v>283</v>
      </c>
      <c r="D19" s="100" t="s">
        <v>75</v>
      </c>
      <c r="E19" s="101">
        <f>2_BDD_Effectif_IF_IAN!D22</f>
        <v>0.1</v>
      </c>
    </row>
    <row r="20" spans="2:5" ht="7.5" customHeight="1" thickBot="1">
      <c r="B20" s="87"/>
      <c r="C20" s="87"/>
      <c r="D20" s="87"/>
      <c r="E20" s="87"/>
    </row>
    <row r="21" spans="2:5" ht="39" thickBot="1">
      <c r="B21" s="40" t="s">
        <v>318</v>
      </c>
      <c r="C21" s="11" t="s">
        <v>319</v>
      </c>
      <c r="D21" s="8" t="s">
        <v>320</v>
      </c>
      <c r="E21" s="98">
        <f>(E13*E17)+(E14*E18)+(E15*E19)</f>
        <v>0.05170126522317799</v>
      </c>
    </row>
  </sheetData>
  <mergeCells count="3">
    <mergeCell ref="B17:B19"/>
    <mergeCell ref="B5:B11"/>
    <mergeCell ref="B13:B15"/>
  </mergeCells>
  <hyperlinks>
    <hyperlink ref="A1" location="'Plan du fichier'!A1" display="'Plan du fichier'!A1"/>
  </hyperlinks>
  <printOptions/>
  <pageMargins left="0.75" right="0.75" top="1" bottom="1" header="0.4921259845" footer="0.4921259845"/>
  <pageSetup orientation="portrait" paperSize="9"/>
  <legacyDrawing r:id="rId4"/>
  <oleObjects>
    <oleObject progId="" shapeId="1856168" r:id="rId2"/>
    <oleObject progId="" shapeId="1857066" r:id="rId3"/>
  </oleObjects>
</worksheet>
</file>

<file path=xl/worksheets/sheet21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E22" sqref="E22"/>
    </sheetView>
  </sheetViews>
  <sheetFormatPr defaultColWidth="11.421875" defaultRowHeight="12.75"/>
  <cols>
    <col min="2" max="2" width="20.140625" style="0" customWidth="1"/>
    <col min="3" max="3" width="36.140625" style="0" customWidth="1"/>
  </cols>
  <sheetData>
    <row r="1" ht="12.75">
      <c r="A1" s="1" t="s">
        <v>37</v>
      </c>
    </row>
    <row r="3" ht="13.5" thickBot="1"/>
    <row r="4" spans="2:5" ht="36.75" customHeight="1" thickBot="1">
      <c r="B4" s="51" t="s">
        <v>321</v>
      </c>
      <c r="C4" s="57" t="s">
        <v>322</v>
      </c>
      <c r="D4" s="51" t="s">
        <v>158</v>
      </c>
      <c r="E4" s="51">
        <v>2003</v>
      </c>
    </row>
    <row r="5" spans="2:5" ht="22.5" customHeight="1" thickBot="1">
      <c r="B5" s="148" t="s">
        <v>323</v>
      </c>
      <c r="C5" s="11" t="s">
        <v>324</v>
      </c>
      <c r="D5" s="8" t="s">
        <v>286</v>
      </c>
      <c r="E5" s="98">
        <f>'7.1_p_Machines_3 formes de fin'!E24</f>
        <v>0.04203669671251611</v>
      </c>
    </row>
    <row r="6" spans="2:5" ht="24.75" customHeight="1" thickBot="1">
      <c r="B6" s="149"/>
      <c r="C6" s="11" t="s">
        <v>325</v>
      </c>
      <c r="D6" s="8" t="s">
        <v>308</v>
      </c>
      <c r="E6" s="98">
        <f>'7.2_p_Batiments_3 formes de fin'!E24</f>
        <v>0.04700638416561275</v>
      </c>
    </row>
    <row r="7" spans="2:5" ht="17.25" thickBot="1">
      <c r="B7" s="150"/>
      <c r="C7" s="11" t="s">
        <v>326</v>
      </c>
      <c r="D7" s="8" t="s">
        <v>320</v>
      </c>
      <c r="E7" s="98">
        <f>'7.3_p_stocks_3 formes de fin'!E21</f>
        <v>0.05170126522317799</v>
      </c>
    </row>
    <row r="8" spans="2:5" ht="8.25" customHeight="1" thickBot="1">
      <c r="B8" s="107"/>
      <c r="C8" s="107"/>
      <c r="D8" s="107"/>
      <c r="E8" s="107"/>
    </row>
    <row r="9" spans="2:5" ht="15" thickBot="1">
      <c r="B9" s="148" t="s">
        <v>280</v>
      </c>
      <c r="C9" s="11" t="s">
        <v>327</v>
      </c>
      <c r="D9" s="100" t="s">
        <v>77</v>
      </c>
      <c r="E9" s="101">
        <f>2_BDD_Effectif_IF_IAN!D23</f>
        <v>0.5</v>
      </c>
    </row>
    <row r="10" spans="2:5" ht="15" thickBot="1">
      <c r="B10" s="149"/>
      <c r="C10" s="11" t="s">
        <v>328</v>
      </c>
      <c r="D10" s="100" t="s">
        <v>79</v>
      </c>
      <c r="E10" s="101">
        <f>2_BDD_Effectif_IF_IAN!D24</f>
        <v>0.28</v>
      </c>
    </row>
    <row r="11" spans="2:5" ht="15" thickBot="1">
      <c r="B11" s="150"/>
      <c r="C11" s="11" t="s">
        <v>329</v>
      </c>
      <c r="D11" s="100" t="s">
        <v>81</v>
      </c>
      <c r="E11" s="101">
        <f>2_BDD_Effectif_IF_IAN!D25</f>
        <v>0.22</v>
      </c>
    </row>
    <row r="12" spans="2:5" ht="7.5" customHeight="1" thickBot="1">
      <c r="B12" s="87"/>
      <c r="C12" s="87"/>
      <c r="D12" s="87"/>
      <c r="E12" s="87"/>
    </row>
    <row r="13" spans="2:5" ht="52.5" customHeight="1" thickBot="1">
      <c r="B13" s="40" t="s">
        <v>330</v>
      </c>
      <c r="C13" s="11" t="s">
        <v>331</v>
      </c>
      <c r="D13" s="8" t="s">
        <v>42</v>
      </c>
      <c r="E13" s="98">
        <f>(E5*E9)+(E6*E10)+(E7*E11)</f>
        <v>0.04555441427172879</v>
      </c>
    </row>
  </sheetData>
  <mergeCells count="2">
    <mergeCell ref="B5:B7"/>
    <mergeCell ref="B9:B11"/>
  </mergeCells>
  <hyperlinks>
    <hyperlink ref="A1" location="'Plan du fichier'!A1" display="'Plan du fichier'!A1"/>
  </hyperlinks>
  <printOptions/>
  <pageMargins left="0.75" right="0.75" top="1" bottom="1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G19" sqref="G19"/>
    </sheetView>
  </sheetViews>
  <sheetFormatPr defaultColWidth="11.421875" defaultRowHeight="12.75"/>
  <cols>
    <col min="2" max="2" width="15.140625" style="0" customWidth="1"/>
    <col min="3" max="3" width="28.8515625" style="0" customWidth="1"/>
    <col min="4" max="4" width="10.421875" style="0" customWidth="1"/>
  </cols>
  <sheetData>
    <row r="1" ht="12.75">
      <c r="A1" s="1" t="s">
        <v>37</v>
      </c>
    </row>
    <row r="3" ht="13.5" thickBot="1"/>
    <row r="4" spans="2:5" ht="52.5" customHeight="1" thickBot="1">
      <c r="B4" s="51" t="s">
        <v>332</v>
      </c>
      <c r="C4" s="57" t="s">
        <v>333</v>
      </c>
      <c r="D4" s="51" t="s">
        <v>158</v>
      </c>
      <c r="E4" s="51">
        <v>2003</v>
      </c>
    </row>
    <row r="5" spans="2:5" ht="39.75" customHeight="1" thickBot="1">
      <c r="B5" s="148" t="s">
        <v>334</v>
      </c>
      <c r="C5" s="11" t="s">
        <v>274</v>
      </c>
      <c r="D5" s="8" t="s">
        <v>275</v>
      </c>
      <c r="E5" s="98">
        <f>'7.1_p_Machines_3 formes de fin'!E16</f>
        <v>0.046326121038565066</v>
      </c>
    </row>
    <row r="6" spans="2:5" ht="33.75" customHeight="1" thickBot="1">
      <c r="B6" s="149"/>
      <c r="C6" s="11" t="s">
        <v>301</v>
      </c>
      <c r="D6" s="8" t="s">
        <v>302</v>
      </c>
      <c r="E6" s="98">
        <f>'7.2_p_Batiments_3 formes de fin'!E16</f>
        <v>0.05183655019574226</v>
      </c>
    </row>
    <row r="7" spans="2:5" ht="26.25" customHeight="1" thickBot="1">
      <c r="B7" s="150"/>
      <c r="C7" s="11" t="s">
        <v>335</v>
      </c>
      <c r="D7" s="8" t="s">
        <v>313</v>
      </c>
      <c r="E7" s="98">
        <f>'7.3_p_stocks_3 formes de fin'!E13</f>
        <v>0.05678058818099944</v>
      </c>
    </row>
    <row r="8" spans="2:5" ht="6.75" customHeight="1" thickBot="1">
      <c r="B8" s="107"/>
      <c r="C8" s="107"/>
      <c r="D8" s="107"/>
      <c r="E8" s="107"/>
    </row>
    <row r="9" spans="2:5" ht="15" thickBot="1">
      <c r="B9" s="148" t="s">
        <v>336</v>
      </c>
      <c r="C9" s="11" t="s">
        <v>327</v>
      </c>
      <c r="D9" s="100" t="s">
        <v>77</v>
      </c>
      <c r="E9" s="101">
        <f>2_BDD_Effectif_IF_IAN!D23</f>
        <v>0.5</v>
      </c>
    </row>
    <row r="10" spans="2:5" ht="15" thickBot="1">
      <c r="B10" s="149"/>
      <c r="C10" s="11" t="s">
        <v>328</v>
      </c>
      <c r="D10" s="100" t="s">
        <v>79</v>
      </c>
      <c r="E10" s="101">
        <f>2_BDD_Effectif_IF_IAN!D24</f>
        <v>0.28</v>
      </c>
    </row>
    <row r="11" spans="2:5" ht="15" thickBot="1">
      <c r="B11" s="150"/>
      <c r="C11" s="11" t="s">
        <v>329</v>
      </c>
      <c r="D11" s="100" t="s">
        <v>81</v>
      </c>
      <c r="E11" s="101">
        <f>2_BDD_Effectif_IF_IAN!D25</f>
        <v>0.22</v>
      </c>
    </row>
    <row r="12" spans="2:5" ht="6" customHeight="1" thickBot="1">
      <c r="B12" s="106"/>
      <c r="C12" s="106"/>
      <c r="D12" s="106"/>
      <c r="E12" s="107"/>
    </row>
    <row r="13" spans="2:5" ht="48" customHeight="1" thickBot="1">
      <c r="B13" s="40" t="s">
        <v>337</v>
      </c>
      <c r="C13" s="11" t="s">
        <v>338</v>
      </c>
      <c r="D13" s="8" t="s">
        <v>339</v>
      </c>
      <c r="E13" s="98">
        <f>(E5*E9)+(E6*E10)+(E7*E11)</f>
        <v>0.050169023973910244</v>
      </c>
    </row>
  </sheetData>
  <mergeCells count="2">
    <mergeCell ref="B5:B7"/>
    <mergeCell ref="B9:B11"/>
  </mergeCells>
  <hyperlinks>
    <hyperlink ref="A1" location="'Plan du fichier'!A1" display="'Plan du fichier'!A1"/>
  </hyperlinks>
  <printOptions/>
  <pageMargins left="0.75" right="0.75" top="1" bottom="1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E23" sqref="E23"/>
    </sheetView>
  </sheetViews>
  <sheetFormatPr defaultColWidth="11.421875" defaultRowHeight="12.75"/>
  <cols>
    <col min="2" max="2" width="23.140625" style="0" customWidth="1"/>
    <col min="3" max="3" width="30.7109375" style="0" customWidth="1"/>
  </cols>
  <sheetData>
    <row r="1" ht="12.75">
      <c r="A1" s="1" t="s">
        <v>37</v>
      </c>
    </row>
    <row r="3" ht="13.5" thickBot="1"/>
    <row r="4" spans="2:5" ht="30.75" customHeight="1" thickBot="1">
      <c r="B4" s="51" t="s">
        <v>340</v>
      </c>
      <c r="C4" s="57" t="s">
        <v>341</v>
      </c>
      <c r="D4" s="51" t="s">
        <v>158</v>
      </c>
      <c r="E4" s="51">
        <v>2003</v>
      </c>
    </row>
    <row r="5" spans="2:5" ht="26.25" thickBot="1">
      <c r="B5" s="148" t="s">
        <v>342</v>
      </c>
      <c r="C5" s="11" t="s">
        <v>343</v>
      </c>
      <c r="D5" s="8" t="s">
        <v>277</v>
      </c>
      <c r="E5" s="98">
        <f>'7.1_p_Machines_3 formes de fin'!E17</f>
        <v>0.035721498033179394</v>
      </c>
    </row>
    <row r="6" spans="2:5" ht="26.25" thickBot="1">
      <c r="B6" s="149"/>
      <c r="C6" s="11" t="s">
        <v>344</v>
      </c>
      <c r="D6" s="8" t="s">
        <v>304</v>
      </c>
      <c r="E6" s="98">
        <f>'7.2_p_Batiments_3 formes de fin'!E17</f>
        <v>0.03986242822934117</v>
      </c>
    </row>
    <row r="7" spans="2:5" ht="26.25" thickBot="1">
      <c r="B7" s="150"/>
      <c r="C7" s="11" t="s">
        <v>345</v>
      </c>
      <c r="D7" s="8" t="s">
        <v>346</v>
      </c>
      <c r="E7" s="98">
        <f>'7.3_p_stocks_3 formes de fin'!E14</f>
        <v>0.04425090870089784</v>
      </c>
    </row>
    <row r="8" spans="2:5" ht="4.5" customHeight="1" thickBot="1">
      <c r="B8" s="107"/>
      <c r="C8" s="107"/>
      <c r="D8" s="107"/>
      <c r="E8" s="107"/>
    </row>
    <row r="9" spans="2:5" ht="15" thickBot="1">
      <c r="B9" s="148" t="s">
        <v>336</v>
      </c>
      <c r="C9" s="11" t="s">
        <v>327</v>
      </c>
      <c r="D9" s="100" t="s">
        <v>77</v>
      </c>
      <c r="E9" s="101">
        <f>2_BDD_Effectif_IF_IAN!D23</f>
        <v>0.5</v>
      </c>
    </row>
    <row r="10" spans="2:5" ht="15" thickBot="1">
      <c r="B10" s="149"/>
      <c r="C10" s="11" t="s">
        <v>328</v>
      </c>
      <c r="D10" s="100" t="s">
        <v>79</v>
      </c>
      <c r="E10" s="101">
        <f>2_BDD_Effectif_IF_IAN!D24</f>
        <v>0.28</v>
      </c>
    </row>
    <row r="11" spans="2:5" ht="15" thickBot="1">
      <c r="B11" s="150"/>
      <c r="C11" s="11" t="s">
        <v>329</v>
      </c>
      <c r="D11" s="100" t="s">
        <v>81</v>
      </c>
      <c r="E11" s="101">
        <f>2_BDD_Effectif_IF_IAN!D25</f>
        <v>0.22</v>
      </c>
    </row>
    <row r="12" spans="2:5" ht="3.75" customHeight="1" thickBot="1">
      <c r="B12" s="107"/>
      <c r="C12" s="107"/>
      <c r="D12" s="107"/>
      <c r="E12" s="107"/>
    </row>
    <row r="13" spans="2:5" ht="44.25" customHeight="1" thickBot="1">
      <c r="B13" s="40" t="s">
        <v>347</v>
      </c>
      <c r="C13" s="11" t="s">
        <v>348</v>
      </c>
      <c r="D13" s="8" t="s">
        <v>346</v>
      </c>
      <c r="E13" s="98">
        <f>(E5*E9)+(E6*E10)+(E7*E11)</f>
        <v>0.03875742883500275</v>
      </c>
    </row>
  </sheetData>
  <mergeCells count="2">
    <mergeCell ref="B5:B7"/>
    <mergeCell ref="B9:B11"/>
  </mergeCells>
  <hyperlinks>
    <hyperlink ref="A1" location="'Plan du fichier'!A1" display="'Plan du fichier'!A1"/>
  </hyperlinks>
  <printOptions/>
  <pageMargins left="0.75" right="0.75" top="1" bottom="1" header="0.4921259845" footer="0.492125984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D17" sqref="D17"/>
    </sheetView>
  </sheetViews>
  <sheetFormatPr defaultColWidth="11.421875" defaultRowHeight="12.75"/>
  <cols>
    <col min="2" max="2" width="30.28125" style="0" customWidth="1"/>
    <col min="3" max="3" width="30.7109375" style="0" customWidth="1"/>
  </cols>
  <sheetData>
    <row r="1" ht="12.75">
      <c r="A1" s="1" t="s">
        <v>37</v>
      </c>
    </row>
    <row r="3" ht="13.5" thickBot="1"/>
    <row r="4" spans="2:5" ht="45.75" customHeight="1" thickBot="1">
      <c r="B4" s="51" t="s">
        <v>349</v>
      </c>
      <c r="C4" s="57" t="s">
        <v>350</v>
      </c>
      <c r="D4" s="51" t="s">
        <v>158</v>
      </c>
      <c r="E4" s="51">
        <v>2003</v>
      </c>
    </row>
    <row r="5" spans="2:5" ht="42.75" customHeight="1" thickBot="1">
      <c r="B5" s="148" t="s">
        <v>351</v>
      </c>
      <c r="C5" s="11" t="s">
        <v>352</v>
      </c>
      <c r="D5" s="8" t="s">
        <v>279</v>
      </c>
      <c r="E5" s="98">
        <f>'7.1_p_Machines_3 formes de fin'!E18</f>
        <v>0.06175730430769666</v>
      </c>
    </row>
    <row r="6" spans="2:5" ht="33.75" customHeight="1" thickBot="1">
      <c r="B6" s="149"/>
      <c r="C6" s="11" t="s">
        <v>353</v>
      </c>
      <c r="D6" s="8" t="s">
        <v>306</v>
      </c>
      <c r="E6" s="98">
        <f>'7.2_p_Batiments_3 formes de fin'!E18</f>
        <v>0.06939256070965313</v>
      </c>
    </row>
    <row r="7" spans="2:5" ht="39" customHeight="1" thickBot="1">
      <c r="B7" s="150"/>
      <c r="C7" s="11" t="s">
        <v>354</v>
      </c>
      <c r="D7" s="8" t="s">
        <v>355</v>
      </c>
      <c r="E7" s="98">
        <f>'7.3_p_stocks_3 formes de fin'!E15</f>
        <v>0.07490059574334376</v>
      </c>
    </row>
    <row r="8" spans="2:5" ht="7.5" customHeight="1" thickBot="1">
      <c r="B8" s="107"/>
      <c r="C8" s="107"/>
      <c r="D8" s="107"/>
      <c r="E8" s="107"/>
    </row>
    <row r="9" spans="2:5" ht="15" thickBot="1">
      <c r="B9" s="148" t="s">
        <v>336</v>
      </c>
      <c r="C9" s="11" t="s">
        <v>327</v>
      </c>
      <c r="D9" s="100" t="s">
        <v>77</v>
      </c>
      <c r="E9" s="101">
        <f>2_BDD_Effectif_IF_IAN!D23</f>
        <v>0.5</v>
      </c>
    </row>
    <row r="10" spans="2:5" ht="15" thickBot="1">
      <c r="B10" s="149"/>
      <c r="C10" s="11" t="s">
        <v>328</v>
      </c>
      <c r="D10" s="100" t="s">
        <v>79</v>
      </c>
      <c r="E10" s="101">
        <f>2_BDD_Effectif_IF_IAN!D24</f>
        <v>0.28</v>
      </c>
    </row>
    <row r="11" spans="2:5" ht="15" thickBot="1">
      <c r="B11" s="150"/>
      <c r="C11" s="11" t="s">
        <v>329</v>
      </c>
      <c r="D11" s="100" t="s">
        <v>81</v>
      </c>
      <c r="E11" s="101">
        <f>2_BDD_Effectif_IF_IAN!D25</f>
        <v>0.22</v>
      </c>
    </row>
    <row r="12" spans="2:5" ht="9" customHeight="1" thickBot="1">
      <c r="B12" s="107"/>
      <c r="C12" s="107"/>
      <c r="D12" s="107"/>
      <c r="E12" s="107"/>
    </row>
    <row r="13" spans="2:5" ht="55.5" customHeight="1" thickBot="1">
      <c r="B13" s="40" t="s">
        <v>356</v>
      </c>
      <c r="C13" s="11" t="s">
        <v>357</v>
      </c>
      <c r="D13" s="8" t="s">
        <v>355</v>
      </c>
      <c r="E13" s="98">
        <f>(E5*E9)+(E6*E10)+(E7*E11)</f>
        <v>0.06678670021608683</v>
      </c>
    </row>
  </sheetData>
  <mergeCells count="2">
    <mergeCell ref="B5:B7"/>
    <mergeCell ref="B9:B11"/>
  </mergeCells>
  <hyperlinks>
    <hyperlink ref="A1" location="'Plan du fichier'!A1" display="'Plan du fichier'!A1"/>
  </hyperlinks>
  <printOptions/>
  <pageMargins left="0.75" right="0.75" top="1" bottom="1" header="0.4921259845" footer="0.492125984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E18" sqref="E18"/>
    </sheetView>
  </sheetViews>
  <sheetFormatPr defaultColWidth="11.421875" defaultRowHeight="12.75"/>
  <cols>
    <col min="3" max="3" width="38.00390625" style="0" customWidth="1"/>
  </cols>
  <sheetData>
    <row r="1" ht="12.75">
      <c r="A1" s="1" t="s">
        <v>37</v>
      </c>
    </row>
    <row r="3" ht="13.5" thickBot="1"/>
    <row r="4" spans="2:5" ht="58.5" customHeight="1" thickBot="1">
      <c r="B4" s="40" t="s">
        <v>358</v>
      </c>
      <c r="C4" s="57" t="s">
        <v>359</v>
      </c>
      <c r="D4" s="51" t="s">
        <v>158</v>
      </c>
      <c r="E4" s="51">
        <v>2003</v>
      </c>
    </row>
    <row r="5" spans="2:5" ht="17.25" thickBot="1">
      <c r="B5" s="148" t="s">
        <v>360</v>
      </c>
      <c r="C5" s="11" t="s">
        <v>361</v>
      </c>
      <c r="D5" s="8" t="s">
        <v>339</v>
      </c>
      <c r="E5" s="98">
        <f>'7.5_p_dette'!E13</f>
        <v>0.050169023973910244</v>
      </c>
    </row>
    <row r="6" spans="2:5" ht="35.25" customHeight="1" thickBot="1">
      <c r="B6" s="149"/>
      <c r="C6" s="11" t="s">
        <v>362</v>
      </c>
      <c r="D6" s="8" t="s">
        <v>346</v>
      </c>
      <c r="E6" s="98">
        <f>'7.6_p_RE'!E13</f>
        <v>0.03875742883500275</v>
      </c>
    </row>
    <row r="7" spans="2:5" ht="26.25" thickBot="1">
      <c r="B7" s="150"/>
      <c r="C7" s="11" t="s">
        <v>363</v>
      </c>
      <c r="D7" s="8" t="s">
        <v>355</v>
      </c>
      <c r="E7" s="98">
        <f>'7.7_p_NE'!E13</f>
        <v>0.06678670021608683</v>
      </c>
    </row>
    <row r="8" spans="2:5" ht="13.5" thickBot="1">
      <c r="B8" s="107"/>
      <c r="C8" s="107"/>
      <c r="D8" s="107"/>
      <c r="E8" s="107"/>
    </row>
    <row r="9" spans="2:5" ht="15" thickBot="1">
      <c r="B9" s="148" t="s">
        <v>364</v>
      </c>
      <c r="C9" s="11" t="s">
        <v>281</v>
      </c>
      <c r="D9" s="100" t="s">
        <v>71</v>
      </c>
      <c r="E9" s="101">
        <f>2_BDD_Effectif_IF_IAN!D20</f>
        <v>0.35</v>
      </c>
    </row>
    <row r="10" spans="2:5" ht="15" thickBot="1">
      <c r="B10" s="149"/>
      <c r="C10" s="11" t="s">
        <v>282</v>
      </c>
      <c r="D10" s="100" t="s">
        <v>73</v>
      </c>
      <c r="E10" s="101">
        <f>2_BDD_Effectif_IF_IAN!D21</f>
        <v>0.55</v>
      </c>
    </row>
    <row r="11" spans="2:5" ht="30.75" customHeight="1" thickBot="1">
      <c r="B11" s="150"/>
      <c r="C11" s="11" t="s">
        <v>283</v>
      </c>
      <c r="D11" s="100" t="s">
        <v>75</v>
      </c>
      <c r="E11" s="101">
        <f>2_BDD_Effectif_IF_IAN!D22</f>
        <v>0.1</v>
      </c>
    </row>
    <row r="12" spans="2:5" ht="13.5" thickBot="1">
      <c r="B12" s="107"/>
      <c r="C12" s="107"/>
      <c r="D12" s="107"/>
      <c r="E12" s="107"/>
    </row>
    <row r="13" spans="2:5" ht="51.75" thickBot="1">
      <c r="B13" s="40" t="s">
        <v>365</v>
      </c>
      <c r="C13" s="11" t="s">
        <v>366</v>
      </c>
      <c r="D13" s="8" t="s">
        <v>42</v>
      </c>
      <c r="E13" s="98">
        <f>(E5*E9)+(E6*E10)+(E7*E11)</f>
        <v>0.04555441427172879</v>
      </c>
    </row>
  </sheetData>
  <mergeCells count="2">
    <mergeCell ref="B5:B7"/>
    <mergeCell ref="B9:B11"/>
  </mergeCells>
  <hyperlinks>
    <hyperlink ref="A1" location="'Plan du fichier'!A1" display="'Plan du fichier'!A1"/>
  </hyperlinks>
  <printOptions/>
  <pageMargins left="0.75" right="0.75" top="1" bottom="1" header="0.4921259845" footer="0.492125984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5">
      <selection activeCell="F31" sqref="F31"/>
    </sheetView>
  </sheetViews>
  <sheetFormatPr defaultColWidth="11.421875" defaultRowHeight="12.75"/>
  <cols>
    <col min="2" max="2" width="21.57421875" style="0" customWidth="1"/>
    <col min="3" max="3" width="26.8515625" style="0" customWidth="1"/>
  </cols>
  <sheetData>
    <row r="1" ht="12.75">
      <c r="A1" s="1" t="s">
        <v>37</v>
      </c>
    </row>
    <row r="3" ht="13.5" thickBot="1"/>
    <row r="4" spans="2:5" ht="13.5" thickBot="1">
      <c r="B4" s="40" t="s">
        <v>42</v>
      </c>
      <c r="C4" s="93" t="s">
        <v>367</v>
      </c>
      <c r="D4" s="51" t="s">
        <v>158</v>
      </c>
      <c r="E4" s="51">
        <v>2003</v>
      </c>
    </row>
    <row r="5" spans="2:5" ht="26.25" thickBot="1">
      <c r="B5" s="148" t="s">
        <v>368</v>
      </c>
      <c r="C5" s="11" t="s">
        <v>274</v>
      </c>
      <c r="D5" s="8" t="s">
        <v>275</v>
      </c>
      <c r="E5" s="98">
        <f>'7.1_p_Machines_3 formes de fin'!E16</f>
        <v>0.046326121038565066</v>
      </c>
    </row>
    <row r="6" spans="2:5" ht="39" thickBot="1">
      <c r="B6" s="149"/>
      <c r="C6" s="11" t="s">
        <v>276</v>
      </c>
      <c r="D6" s="8" t="s">
        <v>277</v>
      </c>
      <c r="E6" s="98">
        <f>'7.1_p_Machines_3 formes de fin'!E17</f>
        <v>0.035721498033179394</v>
      </c>
    </row>
    <row r="7" spans="2:5" ht="39" thickBot="1">
      <c r="B7" s="150"/>
      <c r="C7" s="11" t="s">
        <v>278</v>
      </c>
      <c r="D7" s="8" t="s">
        <v>279</v>
      </c>
      <c r="E7" s="98">
        <f>'7.1_p_Machines_3 formes de fin'!E18</f>
        <v>0.06175730430769666</v>
      </c>
    </row>
    <row r="8" spans="2:5" ht="13.5" thickBot="1">
      <c r="B8" s="107"/>
      <c r="C8" s="107"/>
      <c r="D8" s="107"/>
      <c r="E8" s="107"/>
    </row>
    <row r="9" spans="2:5" ht="26.25" thickBot="1">
      <c r="B9" s="148" t="s">
        <v>369</v>
      </c>
      <c r="C9" s="11" t="s">
        <v>301</v>
      </c>
      <c r="D9" s="8" t="s">
        <v>302</v>
      </c>
      <c r="E9" s="98">
        <f>'7.2_p_Batiments_3 formes de fin'!E16</f>
        <v>0.05183655019574226</v>
      </c>
    </row>
    <row r="10" spans="2:5" ht="39" thickBot="1">
      <c r="B10" s="149"/>
      <c r="C10" s="11" t="s">
        <v>344</v>
      </c>
      <c r="D10" s="8" t="s">
        <v>304</v>
      </c>
      <c r="E10" s="98">
        <f>'7.2_p_Batiments_3 formes de fin'!E17</f>
        <v>0.03986242822934117</v>
      </c>
    </row>
    <row r="11" spans="2:5" ht="39" thickBot="1">
      <c r="B11" s="150"/>
      <c r="C11" s="11" t="s">
        <v>370</v>
      </c>
      <c r="D11" s="8" t="s">
        <v>306</v>
      </c>
      <c r="E11" s="98">
        <f>'7.2_p_Batiments_3 formes de fin'!E18</f>
        <v>0.06939256070965313</v>
      </c>
    </row>
    <row r="12" spans="2:5" ht="13.5" thickBot="1">
      <c r="B12" s="107"/>
      <c r="C12" s="107"/>
      <c r="D12" s="107"/>
      <c r="E12" s="107"/>
    </row>
    <row r="13" spans="2:5" ht="26.25" thickBot="1">
      <c r="B13" s="148" t="s">
        <v>371</v>
      </c>
      <c r="C13" s="11" t="s">
        <v>372</v>
      </c>
      <c r="D13" s="8" t="s">
        <v>313</v>
      </c>
      <c r="E13" s="98">
        <f>'7.3_p_stocks_3 formes de fin'!E13</f>
        <v>0.05678058818099944</v>
      </c>
    </row>
    <row r="14" spans="2:5" ht="26.25" thickBot="1">
      <c r="B14" s="149"/>
      <c r="C14" s="11" t="s">
        <v>314</v>
      </c>
      <c r="D14" s="8" t="s">
        <v>346</v>
      </c>
      <c r="E14" s="98">
        <f>'7.3_p_stocks_3 formes de fin'!E14</f>
        <v>0.04425090870089784</v>
      </c>
    </row>
    <row r="15" spans="2:5" ht="26.25" thickBot="1">
      <c r="B15" s="150"/>
      <c r="C15" s="11" t="s">
        <v>316</v>
      </c>
      <c r="D15" s="8" t="s">
        <v>355</v>
      </c>
      <c r="E15" s="98">
        <f>'7.3_p_stocks_3 formes de fin'!E15</f>
        <v>0.07490059574334376</v>
      </c>
    </row>
    <row r="16" spans="2:5" ht="13.5" thickBot="1">
      <c r="B16" s="107"/>
      <c r="C16" s="107"/>
      <c r="D16" s="107"/>
      <c r="E16" s="107"/>
    </row>
    <row r="17" spans="2:5" ht="26.25" thickBot="1">
      <c r="B17" s="148" t="s">
        <v>373</v>
      </c>
      <c r="C17" s="11" t="s">
        <v>324</v>
      </c>
      <c r="D17" s="8" t="s">
        <v>286</v>
      </c>
      <c r="E17" s="98">
        <f>'7.1_p_Machines_3 formes de fin'!E24</f>
        <v>0.04203669671251611</v>
      </c>
    </row>
    <row r="18" spans="2:5" ht="26.25" thickBot="1">
      <c r="B18" s="149"/>
      <c r="C18" s="11" t="s">
        <v>325</v>
      </c>
      <c r="D18" s="8" t="s">
        <v>308</v>
      </c>
      <c r="E18" s="98">
        <f>'7.2_p_Batiments_3 formes de fin'!E24</f>
        <v>0.04700638416561275</v>
      </c>
    </row>
    <row r="19" spans="2:5" ht="26.25" thickBot="1">
      <c r="B19" s="149"/>
      <c r="C19" s="11" t="s">
        <v>326</v>
      </c>
      <c r="D19" s="8" t="s">
        <v>320</v>
      </c>
      <c r="E19" s="98">
        <f>'7.3_p_stocks_3 formes de fin'!E21</f>
        <v>0.05170126522317799</v>
      </c>
    </row>
    <row r="20" spans="2:5" ht="26.25" thickBot="1">
      <c r="B20" s="151"/>
      <c r="C20" s="11" t="s">
        <v>374</v>
      </c>
      <c r="D20" s="8" t="s">
        <v>42</v>
      </c>
      <c r="E20" s="98">
        <f>'7.4_recap_p_actifs'!E13</f>
        <v>0.04555441427172879</v>
      </c>
    </row>
    <row r="21" spans="2:5" ht="13.5" thickBot="1">
      <c r="B21" s="107"/>
      <c r="C21" s="107"/>
      <c r="D21" s="107"/>
      <c r="E21" s="107"/>
    </row>
    <row r="22" spans="2:5" ht="26.25" thickBot="1">
      <c r="B22" s="148" t="s">
        <v>375</v>
      </c>
      <c r="C22" s="11" t="s">
        <v>361</v>
      </c>
      <c r="D22" s="8" t="s">
        <v>339</v>
      </c>
      <c r="E22" s="98">
        <f>'7.5_p_dette'!E13</f>
        <v>0.050169023973910244</v>
      </c>
    </row>
    <row r="23" spans="2:5" ht="26.25" thickBot="1">
      <c r="B23" s="149"/>
      <c r="C23" s="11" t="s">
        <v>362</v>
      </c>
      <c r="D23" s="8" t="s">
        <v>346</v>
      </c>
      <c r="E23" s="98">
        <f>'7.6_p_RE'!E13</f>
        <v>0.03875742883500275</v>
      </c>
    </row>
    <row r="24" spans="2:5" ht="26.25" thickBot="1">
      <c r="B24" s="149"/>
      <c r="C24" s="11" t="s">
        <v>363</v>
      </c>
      <c r="D24" s="8" t="s">
        <v>355</v>
      </c>
      <c r="E24" s="98">
        <f>'7.7_p_NE'!E13</f>
        <v>0.06678670021608683</v>
      </c>
    </row>
    <row r="25" spans="2:5" ht="39" thickBot="1">
      <c r="B25" s="151"/>
      <c r="C25" s="11" t="s">
        <v>376</v>
      </c>
      <c r="D25" s="8" t="s">
        <v>42</v>
      </c>
      <c r="E25" s="98">
        <f>'7.8_Recap_p_forme de fin'!E13</f>
        <v>0.04555441427172879</v>
      </c>
    </row>
    <row r="26" spans="2:5" ht="26.25" thickBot="1">
      <c r="B26" s="40" t="s">
        <v>377</v>
      </c>
      <c r="C26" s="4" t="s">
        <v>120</v>
      </c>
      <c r="D26" s="108" t="s">
        <v>121</v>
      </c>
      <c r="E26" s="109">
        <f>'4_Calcul de s'!D13</f>
        <v>0.019766819085487164</v>
      </c>
    </row>
  </sheetData>
  <mergeCells count="5">
    <mergeCell ref="B22:B25"/>
    <mergeCell ref="B13:B15"/>
    <mergeCell ref="B17:B20"/>
    <mergeCell ref="B5:B7"/>
    <mergeCell ref="B9:B11"/>
  </mergeCells>
  <hyperlinks>
    <hyperlink ref="A1" location="'Plan du fichier'!A1" display="'Plan du fichier'!A1"/>
  </hyperlinks>
  <printOptions/>
  <pageMargins left="0.75" right="0.75" top="1" bottom="1" header="0.4921259845" footer="0.492125984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1:E25"/>
  <sheetViews>
    <sheetView workbookViewId="0" topLeftCell="A14">
      <selection activeCell="D17" sqref="D17"/>
    </sheetView>
  </sheetViews>
  <sheetFormatPr defaultColWidth="11.421875" defaultRowHeight="12.75"/>
  <cols>
    <col min="2" max="2" width="18.7109375" style="0" customWidth="1"/>
    <col min="3" max="3" width="57.140625" style="0" customWidth="1"/>
    <col min="4" max="4" width="9.8515625" style="0" customWidth="1"/>
    <col min="5" max="5" width="9.57421875" style="0" customWidth="1"/>
  </cols>
  <sheetData>
    <row r="1" ht="12.75">
      <c r="B1" s="1" t="s">
        <v>37</v>
      </c>
    </row>
    <row r="3" ht="13.5" thickBot="1"/>
    <row r="4" spans="2:5" ht="16.5" customHeight="1" thickBot="1">
      <c r="B4" s="40" t="s">
        <v>378</v>
      </c>
      <c r="C4" s="93" t="s">
        <v>379</v>
      </c>
      <c r="D4" s="51" t="s">
        <v>158</v>
      </c>
      <c r="E4" s="51">
        <v>2003</v>
      </c>
    </row>
    <row r="5" spans="2:5" ht="27.75" customHeight="1" thickBot="1">
      <c r="B5" s="148" t="s">
        <v>380</v>
      </c>
      <c r="C5" s="11" t="s">
        <v>381</v>
      </c>
      <c r="D5" s="8" t="s">
        <v>382</v>
      </c>
      <c r="E5" s="98">
        <f>'7.9_Recap_p'!E5-'7.9_Recap_p'!E26</f>
        <v>0.026559301953077902</v>
      </c>
    </row>
    <row r="6" spans="2:5" ht="27.75" customHeight="1" thickBot="1">
      <c r="B6" s="149"/>
      <c r="C6" s="11" t="s">
        <v>383</v>
      </c>
      <c r="D6" s="8" t="s">
        <v>384</v>
      </c>
      <c r="E6" s="98">
        <f>'7.9_Recap_p'!E6-'7.9_Recap_p'!E26</f>
        <v>0.01595467894769223</v>
      </c>
    </row>
    <row r="7" spans="2:5" ht="27.75" customHeight="1" thickBot="1">
      <c r="B7" s="150"/>
      <c r="C7" s="11" t="s">
        <v>385</v>
      </c>
      <c r="D7" s="8" t="s">
        <v>386</v>
      </c>
      <c r="E7" s="98">
        <f>'7.9_Recap_p'!E7-'7.9_Recap_p'!E26</f>
        <v>0.041990485222209495</v>
      </c>
    </row>
    <row r="8" spans="2:5" ht="9.75" customHeight="1" thickBot="1">
      <c r="B8" s="106"/>
      <c r="C8" s="110"/>
      <c r="D8" s="110"/>
      <c r="E8" s="111"/>
    </row>
    <row r="9" spans="2:5" ht="27" customHeight="1" thickBot="1">
      <c r="B9" s="148" t="s">
        <v>387</v>
      </c>
      <c r="C9" s="11" t="s">
        <v>388</v>
      </c>
      <c r="D9" s="8" t="s">
        <v>389</v>
      </c>
      <c r="E9" s="98">
        <f>'7.9_Recap_p'!E9-'7.9_Recap_p'!E26</f>
        <v>0.032069731110255094</v>
      </c>
    </row>
    <row r="10" spans="2:5" ht="26.25" customHeight="1" thickBot="1">
      <c r="B10" s="149"/>
      <c r="C10" s="11" t="s">
        <v>390</v>
      </c>
      <c r="D10" s="8" t="s">
        <v>391</v>
      </c>
      <c r="E10" s="98">
        <f>'7.9_Recap_p'!E10-'7.9_Recap_p'!E26</f>
        <v>0.020095609143854005</v>
      </c>
    </row>
    <row r="11" spans="2:5" ht="33.75" customHeight="1" thickBot="1">
      <c r="B11" s="150"/>
      <c r="C11" s="11" t="s">
        <v>392</v>
      </c>
      <c r="D11" s="8" t="s">
        <v>393</v>
      </c>
      <c r="E11" s="98">
        <f>'7.9_Recap_p'!E11-'7.9_Recap_p'!E26</f>
        <v>0.04962574162416597</v>
      </c>
    </row>
    <row r="12" spans="2:5" ht="9.75" customHeight="1" thickBot="1">
      <c r="B12" s="106"/>
      <c r="C12" s="110"/>
      <c r="D12" s="110"/>
      <c r="E12" s="111"/>
    </row>
    <row r="13" spans="2:5" ht="30" customHeight="1" thickBot="1">
      <c r="B13" s="148" t="s">
        <v>394</v>
      </c>
      <c r="C13" s="11" t="s">
        <v>395</v>
      </c>
      <c r="D13" s="8" t="s">
        <v>396</v>
      </c>
      <c r="E13" s="98">
        <f>'7.9_Recap_p'!E13-'7.9_Recap_p'!E26</f>
        <v>0.037013769095512274</v>
      </c>
    </row>
    <row r="14" spans="2:5" ht="28.5" customHeight="1" thickBot="1">
      <c r="B14" s="149"/>
      <c r="C14" s="11" t="s">
        <v>397</v>
      </c>
      <c r="D14" s="8" t="s">
        <v>398</v>
      </c>
      <c r="E14" s="98">
        <f>'7.9_Recap_p'!E14-'7.9_Recap_p'!E26</f>
        <v>0.024484089615410674</v>
      </c>
    </row>
    <row r="15" spans="2:5" ht="27" customHeight="1" thickBot="1">
      <c r="B15" s="150"/>
      <c r="C15" s="11" t="s">
        <v>399</v>
      </c>
      <c r="D15" s="8" t="s">
        <v>400</v>
      </c>
      <c r="E15" s="98">
        <f>'7.9_Recap_p'!E15-'7.9_Recap_p'!E26</f>
        <v>0.0551337766578566</v>
      </c>
    </row>
    <row r="16" spans="2:5" ht="8.25" customHeight="1" thickBot="1">
      <c r="B16" s="106"/>
      <c r="C16" s="110"/>
      <c r="D16" s="110"/>
      <c r="E16" s="111"/>
    </row>
    <row r="17" spans="2:5" ht="27" customHeight="1" thickBot="1">
      <c r="B17" s="148" t="s">
        <v>401</v>
      </c>
      <c r="C17" s="11" t="s">
        <v>402</v>
      </c>
      <c r="D17" s="8" t="s">
        <v>403</v>
      </c>
      <c r="E17" s="98">
        <f>'7.9_Recap_p'!E17-'7.9_Recap_p'!E26</f>
        <v>0.022269877627028943</v>
      </c>
    </row>
    <row r="18" spans="2:5" ht="27" customHeight="1" thickBot="1">
      <c r="B18" s="149"/>
      <c r="C18" s="11" t="s">
        <v>404</v>
      </c>
      <c r="D18" s="8" t="s">
        <v>405</v>
      </c>
      <c r="E18" s="98">
        <f>'7.9_Recap_p'!E18-'7.9_Recap_p'!E26</f>
        <v>0.027239565080125587</v>
      </c>
    </row>
    <row r="19" spans="2:5" ht="25.5" customHeight="1" thickBot="1">
      <c r="B19" s="149"/>
      <c r="C19" s="11" t="s">
        <v>406</v>
      </c>
      <c r="D19" s="8" t="s">
        <v>407</v>
      </c>
      <c r="E19" s="98">
        <f>'7.9_Recap_p'!E19-'7.9_Recap_p'!E26</f>
        <v>0.03193444613769083</v>
      </c>
    </row>
    <row r="20" spans="2:5" ht="28.5" customHeight="1" thickBot="1">
      <c r="B20" s="151"/>
      <c r="C20" s="11" t="s">
        <v>408</v>
      </c>
      <c r="D20" s="8" t="s">
        <v>378</v>
      </c>
      <c r="E20" s="98">
        <f>'7.9_Recap_p'!E20-'7.9_Recap_p'!E26</f>
        <v>0.025787595186241623</v>
      </c>
    </row>
    <row r="21" spans="2:5" ht="9" customHeight="1" thickBot="1">
      <c r="B21" s="106"/>
      <c r="C21" s="110"/>
      <c r="D21" s="110"/>
      <c r="E21" s="111"/>
    </row>
    <row r="22" spans="2:5" ht="27.75" customHeight="1" thickBot="1">
      <c r="B22" s="148" t="s">
        <v>409</v>
      </c>
      <c r="C22" s="11" t="s">
        <v>410</v>
      </c>
      <c r="D22" s="8" t="s">
        <v>411</v>
      </c>
      <c r="E22" s="98">
        <f>'7.9_Recap_p'!E22-'7.9_Recap_p'!E26</f>
        <v>0.03040220488842308</v>
      </c>
    </row>
    <row r="23" spans="2:5" ht="32.25" customHeight="1" thickBot="1">
      <c r="B23" s="149"/>
      <c r="C23" s="11" t="s">
        <v>412</v>
      </c>
      <c r="D23" s="8" t="s">
        <v>398</v>
      </c>
      <c r="E23" s="98">
        <f>'7.9_Recap_p'!E23-'7.9_Recap_p'!E26</f>
        <v>0.018990609749515587</v>
      </c>
    </row>
    <row r="24" spans="2:5" ht="33.75" customHeight="1" thickBot="1">
      <c r="B24" s="149"/>
      <c r="C24" s="11" t="s">
        <v>413</v>
      </c>
      <c r="D24" s="8" t="s">
        <v>400</v>
      </c>
      <c r="E24" s="98">
        <f>'7.9_Recap_p'!E24-'7.9_Recap_p'!E26</f>
        <v>0.04701988113059967</v>
      </c>
    </row>
    <row r="25" spans="2:5" ht="30.75" customHeight="1" thickBot="1">
      <c r="B25" s="151"/>
      <c r="C25" s="11" t="s">
        <v>414</v>
      </c>
      <c r="D25" s="8" t="s">
        <v>378</v>
      </c>
      <c r="E25" s="98">
        <f>'7.9_Recap_p'!E25-'7.9_Recap_p'!E26</f>
        <v>0.025787595186241623</v>
      </c>
    </row>
  </sheetData>
  <mergeCells count="5">
    <mergeCell ref="B22:B25"/>
    <mergeCell ref="B5:B7"/>
    <mergeCell ref="B9:B11"/>
    <mergeCell ref="B13:B15"/>
    <mergeCell ref="B17:B20"/>
  </mergeCells>
  <hyperlinks>
    <hyperlink ref="B1" location="'Plan du fichier'!A1" display="'Plan du fichier'!A1"/>
  </hyperlinks>
  <printOptions/>
  <pageMargins left="0.75" right="0.75" top="1" bottom="1" header="0.4921259845" footer="0.4921259845"/>
  <pageSetup orientation="portrait" paperSize="9"/>
  <legacyDrawing r:id="rId4"/>
  <oleObjects>
    <oleObject progId="Equation.DSMT4" shapeId="3965348" r:id="rId2"/>
    <oleObject progId="Equation.DSMT4" shapeId="3965349" r:id="rId3"/>
  </oleObjects>
</worksheet>
</file>

<file path=xl/worksheets/sheet28.xml><?xml version="1.0" encoding="utf-8"?>
<worksheet xmlns="http://schemas.openxmlformats.org/spreadsheetml/2006/main" xmlns:r="http://schemas.openxmlformats.org/officeDocument/2006/relationships">
  <dimension ref="B1:T34"/>
  <sheetViews>
    <sheetView workbookViewId="0" topLeftCell="A19">
      <selection activeCell="C36" sqref="C36"/>
    </sheetView>
  </sheetViews>
  <sheetFormatPr defaultColWidth="11.421875" defaultRowHeight="12.75"/>
  <cols>
    <col min="2" max="2" width="18.7109375" style="0" customWidth="1"/>
    <col min="3" max="3" width="59.00390625" style="0" customWidth="1"/>
    <col min="4" max="4" width="13.7109375" style="0" customWidth="1"/>
    <col min="5" max="5" width="7.00390625" style="0" customWidth="1"/>
  </cols>
  <sheetData>
    <row r="1" ht="12.75">
      <c r="B1" s="1" t="s">
        <v>37</v>
      </c>
    </row>
    <row r="4" ht="13.5" thickBot="1"/>
    <row r="5" spans="2:5" ht="16.5" customHeight="1" thickBot="1">
      <c r="B5" s="40" t="s">
        <v>415</v>
      </c>
      <c r="C5" s="93" t="s">
        <v>416</v>
      </c>
      <c r="D5" s="51" t="s">
        <v>158</v>
      </c>
      <c r="E5" s="51">
        <v>2003</v>
      </c>
    </row>
    <row r="6" spans="2:5" ht="27.75" customHeight="1" thickBot="1">
      <c r="B6" s="148" t="s">
        <v>417</v>
      </c>
      <c r="C6" s="11" t="s">
        <v>418</v>
      </c>
      <c r="D6" s="8" t="s">
        <v>419</v>
      </c>
      <c r="E6" s="98">
        <f>'8_Recap_coin fiscal'!E5/'7.9_Recap_p'!E5</f>
        <v>0.5733115865877936</v>
      </c>
    </row>
    <row r="7" spans="2:5" ht="27.75" customHeight="1" thickBot="1">
      <c r="B7" s="149"/>
      <c r="C7" s="11" t="s">
        <v>420</v>
      </c>
      <c r="D7" s="8" t="s">
        <v>421</v>
      </c>
      <c r="E7" s="98">
        <f>'8_Recap_coin fiscal'!E6/'7.9_Recap_p'!E6</f>
        <v>0.44664081368796343</v>
      </c>
    </row>
    <row r="8" spans="2:5" ht="27.75" customHeight="1" thickBot="1">
      <c r="B8" s="150"/>
      <c r="C8" s="11" t="s">
        <v>422</v>
      </c>
      <c r="D8" s="8" t="s">
        <v>423</v>
      </c>
      <c r="E8" s="98">
        <f>'8_Recap_coin fiscal'!E7/'7.9_Recap_p'!E7</f>
        <v>0.679927430332744</v>
      </c>
    </row>
    <row r="9" spans="2:5" ht="9.75" customHeight="1" thickBot="1">
      <c r="B9" s="106"/>
      <c r="C9" s="110"/>
      <c r="D9" s="110"/>
      <c r="E9" s="111"/>
    </row>
    <row r="10" spans="2:5" ht="27" customHeight="1" thickBot="1">
      <c r="B10" s="148" t="s">
        <v>424</v>
      </c>
      <c r="C10" s="11" t="s">
        <v>425</v>
      </c>
      <c r="D10" s="8" t="s">
        <v>426</v>
      </c>
      <c r="E10" s="98">
        <f>'8_Recap_coin fiscal'!E9/'7.9_Recap_p'!E9</f>
        <v>0.6186702430843716</v>
      </c>
    </row>
    <row r="11" spans="2:5" ht="26.25" customHeight="1" thickBot="1">
      <c r="B11" s="149"/>
      <c r="C11" s="11" t="s">
        <v>427</v>
      </c>
      <c r="D11" s="8" t="s">
        <v>428</v>
      </c>
      <c r="E11" s="98">
        <f>'8_Recap_coin fiscal'!E10/'7.9_Recap_p'!E10</f>
        <v>0.5041240595840676</v>
      </c>
    </row>
    <row r="12" spans="2:5" ht="33.75" customHeight="1" thickBot="1">
      <c r="B12" s="150"/>
      <c r="C12" s="11" t="s">
        <v>429</v>
      </c>
      <c r="D12" s="8" t="s">
        <v>430</v>
      </c>
      <c r="E12" s="98">
        <f>'8_Recap_coin fiscal'!E11/'7.9_Recap_p'!E11</f>
        <v>0.7151449826416707</v>
      </c>
    </row>
    <row r="13" spans="2:5" ht="9.75" customHeight="1" thickBot="1">
      <c r="B13" s="106"/>
      <c r="C13" s="110"/>
      <c r="D13" s="110"/>
      <c r="E13" s="111"/>
    </row>
    <row r="14" spans="2:5" ht="30" customHeight="1" thickBot="1">
      <c r="B14" s="148" t="s">
        <v>431</v>
      </c>
      <c r="C14" s="11" t="s">
        <v>432</v>
      </c>
      <c r="D14" s="8" t="s">
        <v>433</v>
      </c>
      <c r="E14" s="98">
        <f>'8_Recap_coin fiscal'!E13/'7.9_Recap_p'!E13</f>
        <v>0.6518736469851899</v>
      </c>
    </row>
    <row r="15" spans="2:5" ht="28.5" customHeight="1" thickBot="1">
      <c r="B15" s="149"/>
      <c r="C15" s="11" t="s">
        <v>434</v>
      </c>
      <c r="D15" s="8" t="s">
        <v>435</v>
      </c>
      <c r="E15" s="98">
        <f>'8_Recap_coin fiscal'!E14/'7.9_Recap_p'!E14</f>
        <v>0.5533013972866483</v>
      </c>
    </row>
    <row r="16" spans="2:5" ht="27" customHeight="1" thickBot="1">
      <c r="B16" s="150"/>
      <c r="C16" s="11" t="s">
        <v>436</v>
      </c>
      <c r="D16" s="8" t="s">
        <v>437</v>
      </c>
      <c r="E16" s="98">
        <f>'8_Recap_coin fiscal'!E15/'7.9_Recap_p'!E15</f>
        <v>0.7360926319835874</v>
      </c>
    </row>
    <row r="17" spans="2:5" ht="9" customHeight="1" thickBot="1">
      <c r="B17" s="106"/>
      <c r="C17" s="110"/>
      <c r="D17" s="110"/>
      <c r="E17" s="111"/>
    </row>
    <row r="18" spans="2:20" ht="19.5" customHeight="1" thickBot="1">
      <c r="B18" s="148" t="s">
        <v>364</v>
      </c>
      <c r="C18" s="11" t="s">
        <v>281</v>
      </c>
      <c r="D18" s="100" t="s">
        <v>71</v>
      </c>
      <c r="E18" s="101">
        <f>2_BDD_Effectif_IF_IAN!D20</f>
        <v>0.35</v>
      </c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</row>
    <row r="19" spans="2:20" ht="17.25" customHeight="1" thickBot="1">
      <c r="B19" s="149"/>
      <c r="C19" s="11" t="s">
        <v>282</v>
      </c>
      <c r="D19" s="100" t="s">
        <v>73</v>
      </c>
      <c r="E19" s="101">
        <f>2_BDD_Effectif_IF_IAN!D21</f>
        <v>0.55</v>
      </c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</row>
    <row r="20" spans="2:20" ht="15.75" customHeight="1" thickBot="1">
      <c r="B20" s="150"/>
      <c r="C20" s="11" t="s">
        <v>283</v>
      </c>
      <c r="D20" s="100" t="s">
        <v>75</v>
      </c>
      <c r="E20" s="101">
        <f>2_BDD_Effectif_IF_IAN!D22</f>
        <v>0.1</v>
      </c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</row>
    <row r="21" spans="2:20" ht="8.25" customHeight="1" thickBot="1">
      <c r="B21" s="106"/>
      <c r="C21" s="110"/>
      <c r="D21" s="110"/>
      <c r="E21" s="110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</row>
    <row r="22" spans="2:20" ht="15" customHeight="1" thickBot="1">
      <c r="B22" s="148" t="s">
        <v>336</v>
      </c>
      <c r="C22" s="11" t="s">
        <v>327</v>
      </c>
      <c r="D22" s="100" t="s">
        <v>77</v>
      </c>
      <c r="E22" s="101">
        <f>2_BDD_Effectif_IF_IAN!D23</f>
        <v>0.5</v>
      </c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</row>
    <row r="23" spans="2:20" ht="15.75" customHeight="1" thickBot="1">
      <c r="B23" s="149"/>
      <c r="C23" s="11" t="s">
        <v>328</v>
      </c>
      <c r="D23" s="100" t="s">
        <v>79</v>
      </c>
      <c r="E23" s="101">
        <f>2_BDD_Effectif_IF_IAN!D24</f>
        <v>0.28</v>
      </c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</row>
    <row r="24" spans="2:20" ht="18" customHeight="1" thickBot="1">
      <c r="B24" s="150"/>
      <c r="C24" s="11" t="s">
        <v>329</v>
      </c>
      <c r="D24" s="100" t="s">
        <v>81</v>
      </c>
      <c r="E24" s="101">
        <f>2_BDD_Effectif_IF_IAN!D25</f>
        <v>0.22</v>
      </c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</row>
    <row r="25" spans="2:20" ht="8.25" customHeight="1" thickBot="1">
      <c r="B25" s="106"/>
      <c r="C25" s="110"/>
      <c r="D25" s="110"/>
      <c r="E25" s="111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</row>
    <row r="26" spans="2:20" ht="27" customHeight="1" thickBot="1">
      <c r="B26" s="148" t="s">
        <v>438</v>
      </c>
      <c r="C26" s="11" t="s">
        <v>439</v>
      </c>
      <c r="D26" s="8" t="s">
        <v>440</v>
      </c>
      <c r="E26" s="113">
        <f>(E6*E18)+(E7*E19)+(E8*E20)</f>
        <v>0.5143042458673821</v>
      </c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</row>
    <row r="27" spans="2:5" ht="27" customHeight="1" thickBot="1">
      <c r="B27" s="149"/>
      <c r="C27" s="11" t="s">
        <v>441</v>
      </c>
      <c r="D27" s="8" t="s">
        <v>442</v>
      </c>
      <c r="E27" s="113">
        <f>(E10*E18)+(E11*E19)+(E12*E20)</f>
        <v>0.5653173161149343</v>
      </c>
    </row>
    <row r="28" spans="2:5" ht="25.5" customHeight="1" thickBot="1">
      <c r="B28" s="149"/>
      <c r="C28" s="11" t="s">
        <v>443</v>
      </c>
      <c r="D28" s="8" t="s">
        <v>444</v>
      </c>
      <c r="E28" s="113">
        <f>(E14*E18)+(E15*E19)+(E16*E20)</f>
        <v>0.6060808081508318</v>
      </c>
    </row>
    <row r="29" spans="2:5" ht="28.5" customHeight="1" thickBot="1">
      <c r="B29" s="151"/>
      <c r="C29" s="11" t="s">
        <v>445</v>
      </c>
      <c r="D29" s="8" t="s">
        <v>415</v>
      </c>
      <c r="E29" s="113">
        <f>(E22*E26)+(E23*E27)+(E24*E28)</f>
        <v>0.5487787492390557</v>
      </c>
    </row>
    <row r="30" spans="2:5" ht="9" customHeight="1" thickBot="1">
      <c r="B30" s="106"/>
      <c r="C30" s="110"/>
      <c r="D30" s="110"/>
      <c r="E30" s="111"/>
    </row>
    <row r="31" spans="2:5" ht="27.75" customHeight="1" thickBot="1">
      <c r="B31" s="148" t="s">
        <v>446</v>
      </c>
      <c r="C31" s="11" t="s">
        <v>447</v>
      </c>
      <c r="D31" s="8" t="s">
        <v>448</v>
      </c>
      <c r="E31" s="113">
        <f>(E6*E22)+(E10*E23)+(E14*E24)</f>
        <v>0.6032956636942626</v>
      </c>
    </row>
    <row r="32" spans="2:5" ht="32.25" customHeight="1" thickBot="1">
      <c r="B32" s="149"/>
      <c r="C32" s="11" t="s">
        <v>449</v>
      </c>
      <c r="D32" s="8" t="s">
        <v>435</v>
      </c>
      <c r="E32" s="113">
        <f>(E7*E22)+(E11*E23)+(E15*E24)</f>
        <v>0.48620145093058326</v>
      </c>
    </row>
    <row r="33" spans="2:5" ht="33.75" customHeight="1" thickBot="1">
      <c r="B33" s="149"/>
      <c r="C33" s="11" t="s">
        <v>450</v>
      </c>
      <c r="D33" s="8" t="s">
        <v>437</v>
      </c>
      <c r="E33" s="113">
        <f>(E8*E22)+(E12*E23)+(E16*E24)</f>
        <v>0.7021446893424291</v>
      </c>
    </row>
    <row r="34" spans="2:5" ht="30.75" customHeight="1" thickBot="1">
      <c r="B34" s="151"/>
      <c r="C34" s="11" t="s">
        <v>451</v>
      </c>
      <c r="D34" s="8" t="s">
        <v>415</v>
      </c>
      <c r="E34" s="113">
        <f>(E31*E18)+(E32*E19)+(E33*E20)</f>
        <v>0.5487787492390556</v>
      </c>
    </row>
  </sheetData>
  <mergeCells count="7">
    <mergeCell ref="B22:B24"/>
    <mergeCell ref="B26:B29"/>
    <mergeCell ref="B31:B34"/>
    <mergeCell ref="B6:B8"/>
    <mergeCell ref="B10:B12"/>
    <mergeCell ref="B14:B16"/>
    <mergeCell ref="B18:B20"/>
  </mergeCells>
  <hyperlinks>
    <hyperlink ref="B1" location="'Plan du fichier'!A1" display="'Plan du fichier'!A1"/>
  </hyperlinks>
  <printOptions/>
  <pageMargins left="0.75" right="0.75" top="1" bottom="1" header="0.4921259845" footer="0.4921259845"/>
  <pageSetup orientation="portrait" paperSize="9"/>
  <legacyDrawing r:id="rId3"/>
  <oleObjects>
    <oleObject progId="Equation.DSMT4" shapeId="4018275" r:id="rId1"/>
    <oleObject progId="Equation.DSMT4" shapeId="4018276" r:id="rId2"/>
  </oleObjects>
</worksheet>
</file>

<file path=xl/worksheets/sheet29.xml><?xml version="1.0" encoding="utf-8"?>
<worksheet xmlns="http://schemas.openxmlformats.org/spreadsheetml/2006/main" xmlns:r="http://schemas.openxmlformats.org/officeDocument/2006/relationships">
  <dimension ref="B1:T25"/>
  <sheetViews>
    <sheetView workbookViewId="0" topLeftCell="A11">
      <selection activeCell="F24" sqref="F24"/>
    </sheetView>
  </sheetViews>
  <sheetFormatPr defaultColWidth="11.421875" defaultRowHeight="12.75"/>
  <cols>
    <col min="2" max="2" width="18.7109375" style="0" customWidth="1"/>
    <col min="3" max="3" width="59.00390625" style="0" customWidth="1"/>
    <col min="4" max="4" width="13.7109375" style="0" customWidth="1"/>
    <col min="5" max="5" width="7.00390625" style="0" customWidth="1"/>
  </cols>
  <sheetData>
    <row r="1" ht="12.75">
      <c r="B1" s="1" t="s">
        <v>37</v>
      </c>
    </row>
    <row r="3" ht="13.5" thickBot="1"/>
    <row r="4" spans="2:5" ht="16.5" customHeight="1" thickBot="1">
      <c r="B4" s="40" t="s">
        <v>415</v>
      </c>
      <c r="C4" s="93" t="s">
        <v>452</v>
      </c>
      <c r="D4" s="51" t="s">
        <v>158</v>
      </c>
      <c r="E4" s="51">
        <v>2003</v>
      </c>
    </row>
    <row r="5" spans="2:5" ht="27.75" customHeight="1" thickBot="1">
      <c r="B5" s="148" t="s">
        <v>417</v>
      </c>
      <c r="C5" s="11" t="s">
        <v>418</v>
      </c>
      <c r="D5" s="8" t="s">
        <v>419</v>
      </c>
      <c r="E5" s="98">
        <f>9_Calcul_EMTR!E6</f>
        <v>0.5733115865877936</v>
      </c>
    </row>
    <row r="6" spans="2:5" ht="27.75" customHeight="1" thickBot="1">
      <c r="B6" s="149"/>
      <c r="C6" s="11" t="s">
        <v>420</v>
      </c>
      <c r="D6" s="8" t="s">
        <v>421</v>
      </c>
      <c r="E6" s="98">
        <f>9_Calcul_EMTR!E7</f>
        <v>0.44664081368796343</v>
      </c>
    </row>
    <row r="7" spans="2:5" ht="27.75" customHeight="1" thickBot="1">
      <c r="B7" s="150"/>
      <c r="C7" s="11" t="s">
        <v>422</v>
      </c>
      <c r="D7" s="8" t="s">
        <v>423</v>
      </c>
      <c r="E7" s="98">
        <f>9_Calcul_EMTR!E8</f>
        <v>0.679927430332744</v>
      </c>
    </row>
    <row r="8" spans="2:5" ht="9.75" customHeight="1" thickBot="1">
      <c r="B8" s="106"/>
      <c r="C8" s="110"/>
      <c r="D8" s="110"/>
      <c r="E8" s="111"/>
    </row>
    <row r="9" spans="2:5" ht="27" customHeight="1" thickBot="1">
      <c r="B9" s="148" t="s">
        <v>424</v>
      </c>
      <c r="C9" s="11" t="s">
        <v>425</v>
      </c>
      <c r="D9" s="8" t="s">
        <v>426</v>
      </c>
      <c r="E9" s="98">
        <f>9_Calcul_EMTR!E10</f>
        <v>0.6186702430843716</v>
      </c>
    </row>
    <row r="10" spans="2:5" ht="26.25" customHeight="1" thickBot="1">
      <c r="B10" s="149"/>
      <c r="C10" s="11" t="s">
        <v>427</v>
      </c>
      <c r="D10" s="8" t="s">
        <v>428</v>
      </c>
      <c r="E10" s="98">
        <f>9_Calcul_EMTR!E11</f>
        <v>0.5041240595840676</v>
      </c>
    </row>
    <row r="11" spans="2:5" ht="33.75" customHeight="1" thickBot="1">
      <c r="B11" s="150"/>
      <c r="C11" s="11" t="s">
        <v>429</v>
      </c>
      <c r="D11" s="8" t="s">
        <v>430</v>
      </c>
      <c r="E11" s="98">
        <f>9_Calcul_EMTR!E12</f>
        <v>0.7151449826416707</v>
      </c>
    </row>
    <row r="12" spans="2:5" ht="9.75" customHeight="1" thickBot="1">
      <c r="B12" s="106"/>
      <c r="C12" s="110"/>
      <c r="D12" s="110"/>
      <c r="E12" s="111"/>
    </row>
    <row r="13" spans="2:5" ht="30" customHeight="1" thickBot="1">
      <c r="B13" s="148" t="s">
        <v>431</v>
      </c>
      <c r="C13" s="11" t="s">
        <v>432</v>
      </c>
      <c r="D13" s="8" t="s">
        <v>433</v>
      </c>
      <c r="E13" s="98">
        <f>9_Calcul_EMTR!E14</f>
        <v>0.6518736469851899</v>
      </c>
    </row>
    <row r="14" spans="2:5" ht="28.5" customHeight="1" thickBot="1">
      <c r="B14" s="149"/>
      <c r="C14" s="11" t="s">
        <v>434</v>
      </c>
      <c r="D14" s="8" t="s">
        <v>435</v>
      </c>
      <c r="E14" s="98">
        <f>9_Calcul_EMTR!E15</f>
        <v>0.5533013972866483</v>
      </c>
    </row>
    <row r="15" spans="2:5" ht="27" customHeight="1" thickBot="1">
      <c r="B15" s="150"/>
      <c r="C15" s="11" t="s">
        <v>436</v>
      </c>
      <c r="D15" s="8" t="s">
        <v>437</v>
      </c>
      <c r="E15" s="98">
        <f>9_Calcul_EMTR!E16</f>
        <v>0.7360926319835874</v>
      </c>
    </row>
    <row r="16" spans="2:20" ht="8.25" customHeight="1" thickBot="1">
      <c r="B16" s="106"/>
      <c r="C16" s="110"/>
      <c r="D16" s="110"/>
      <c r="E16" s="111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</row>
    <row r="17" spans="2:20" ht="27" customHeight="1" thickBot="1">
      <c r="B17" s="148" t="s">
        <v>438</v>
      </c>
      <c r="C17" s="11" t="s">
        <v>453</v>
      </c>
      <c r="D17" s="8" t="s">
        <v>440</v>
      </c>
      <c r="E17" s="113">
        <f>9_Calcul_EMTR!E26</f>
        <v>0.5143042458673821</v>
      </c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</row>
    <row r="18" spans="2:5" ht="27" customHeight="1" thickBot="1">
      <c r="B18" s="149"/>
      <c r="C18" s="11" t="s">
        <v>454</v>
      </c>
      <c r="D18" s="8" t="s">
        <v>442</v>
      </c>
      <c r="E18" s="113">
        <f>9_Calcul_EMTR!E27</f>
        <v>0.5653173161149343</v>
      </c>
    </row>
    <row r="19" spans="2:5" ht="25.5" customHeight="1" thickBot="1">
      <c r="B19" s="149"/>
      <c r="C19" s="11" t="s">
        <v>455</v>
      </c>
      <c r="D19" s="8" t="s">
        <v>444</v>
      </c>
      <c r="E19" s="113">
        <f>9_Calcul_EMTR!E28</f>
        <v>0.6060808081508318</v>
      </c>
    </row>
    <row r="20" spans="2:5" ht="28.5" customHeight="1" thickBot="1">
      <c r="B20" s="151"/>
      <c r="C20" s="11" t="s">
        <v>445</v>
      </c>
      <c r="D20" s="8" t="s">
        <v>415</v>
      </c>
      <c r="E20" s="113">
        <f>9_Calcul_EMTR!E29</f>
        <v>0.5487787492390557</v>
      </c>
    </row>
    <row r="21" spans="2:5" ht="9" customHeight="1" thickBot="1">
      <c r="B21" s="106"/>
      <c r="C21" s="110"/>
      <c r="D21" s="110"/>
      <c r="E21" s="111"/>
    </row>
    <row r="22" spans="2:5" ht="27.75" customHeight="1" thickBot="1">
      <c r="B22" s="148" t="s">
        <v>446</v>
      </c>
      <c r="C22" s="11" t="s">
        <v>456</v>
      </c>
      <c r="D22" s="8" t="s">
        <v>448</v>
      </c>
      <c r="E22" s="113">
        <f>9_Calcul_EMTR!E31</f>
        <v>0.6032956636942626</v>
      </c>
    </row>
    <row r="23" spans="2:5" ht="32.25" customHeight="1" thickBot="1">
      <c r="B23" s="149"/>
      <c r="C23" s="11" t="s">
        <v>457</v>
      </c>
      <c r="D23" s="8" t="s">
        <v>435</v>
      </c>
      <c r="E23" s="113">
        <f>9_Calcul_EMTR!E32</f>
        <v>0.48620145093058326</v>
      </c>
    </row>
    <row r="24" spans="2:5" ht="33.75" customHeight="1" thickBot="1">
      <c r="B24" s="149"/>
      <c r="C24" s="11" t="s">
        <v>458</v>
      </c>
      <c r="D24" s="8" t="s">
        <v>437</v>
      </c>
      <c r="E24" s="113">
        <f>9_Calcul_EMTR!E33</f>
        <v>0.7021446893424291</v>
      </c>
    </row>
    <row r="25" spans="2:5" ht="30.75" customHeight="1" thickBot="1">
      <c r="B25" s="151"/>
      <c r="C25" s="11" t="s">
        <v>459</v>
      </c>
      <c r="D25" s="8" t="s">
        <v>415</v>
      </c>
      <c r="E25" s="113">
        <f>9_Calcul_EMTR!E34</f>
        <v>0.5487787492390556</v>
      </c>
    </row>
  </sheetData>
  <mergeCells count="5">
    <mergeCell ref="B22:B25"/>
    <mergeCell ref="B5:B7"/>
    <mergeCell ref="B9:B11"/>
    <mergeCell ref="B13:B15"/>
    <mergeCell ref="B17:B20"/>
  </mergeCells>
  <hyperlinks>
    <hyperlink ref="B1" location="'Plan du fichier'!A1" display="'Plan du fichier'!A1"/>
  </hyperlinks>
  <printOptions/>
  <pageMargins left="0.75" right="0.75" top="1" bottom="1" header="0.4921259845" footer="0.4921259845"/>
  <pageSetup orientation="portrait" paperSize="9"/>
  <legacyDrawing r:id="rId3"/>
  <oleObjects>
    <oleObject progId="Equation.DSMT4" shapeId="1739801" r:id="rId1"/>
    <oleObject progId="Equation.DSMT4" shapeId="1739802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2">
      <selection activeCell="B36" sqref="B36"/>
    </sheetView>
  </sheetViews>
  <sheetFormatPr defaultColWidth="11.421875" defaultRowHeight="12.75"/>
  <cols>
    <col min="1" max="1" width="4.28125" style="0" customWidth="1"/>
    <col min="2" max="2" width="102.00390625" style="0" customWidth="1"/>
  </cols>
  <sheetData>
    <row r="1" ht="12.75">
      <c r="A1" s="1" t="s">
        <v>37</v>
      </c>
    </row>
    <row r="3" ht="13.5" thickBot="1"/>
    <row r="4" ht="16.5" customHeight="1" thickBot="1">
      <c r="B4" s="25" t="s">
        <v>82</v>
      </c>
    </row>
    <row r="5" ht="13.5" thickBot="1">
      <c r="B5" s="25" t="s">
        <v>5</v>
      </c>
    </row>
    <row r="6" ht="28.5" customHeight="1" thickBot="1">
      <c r="B6" s="26" t="s">
        <v>83</v>
      </c>
    </row>
    <row r="7" ht="18.75" customHeight="1" thickBot="1">
      <c r="B7" s="27" t="s">
        <v>84</v>
      </c>
    </row>
    <row r="8" ht="18.75" customHeight="1" thickBot="1">
      <c r="B8" s="27" t="s">
        <v>85</v>
      </c>
    </row>
    <row r="9" ht="26.25" customHeight="1" thickBot="1">
      <c r="B9" s="4" t="s">
        <v>86</v>
      </c>
    </row>
    <row r="10" ht="26.25" customHeight="1" thickBot="1">
      <c r="B10" s="4" t="s">
        <v>87</v>
      </c>
    </row>
    <row r="11" ht="21" customHeight="1" thickBot="1">
      <c r="B11" s="4" t="s">
        <v>88</v>
      </c>
    </row>
    <row r="12" ht="29.25" customHeight="1" thickBot="1">
      <c r="B12" s="4" t="s">
        <v>89</v>
      </c>
    </row>
    <row r="13" ht="19.5" customHeight="1" thickBot="1">
      <c r="B13" s="4" t="s">
        <v>90</v>
      </c>
    </row>
    <row r="14" ht="18.75" customHeight="1" thickBot="1">
      <c r="B14" s="26" t="s">
        <v>91</v>
      </c>
    </row>
    <row r="15" ht="15.75" customHeight="1" thickBot="1">
      <c r="B15" s="27" t="s">
        <v>6</v>
      </c>
    </row>
    <row r="16" ht="16.5" customHeight="1" thickBot="1">
      <c r="B16" s="27" t="s">
        <v>92</v>
      </c>
    </row>
    <row r="17" ht="19.5" customHeight="1" thickBot="1">
      <c r="B17" s="27" t="s">
        <v>93</v>
      </c>
    </row>
    <row r="18" ht="18" customHeight="1" thickBot="1">
      <c r="B18" s="27" t="s">
        <v>94</v>
      </c>
    </row>
    <row r="19" ht="18" customHeight="1" thickBot="1">
      <c r="B19" s="27" t="s">
        <v>95</v>
      </c>
    </row>
    <row r="20" ht="17.25" customHeight="1" thickBot="1">
      <c r="B20" s="27" t="s">
        <v>96</v>
      </c>
    </row>
    <row r="21" ht="16.5" customHeight="1" thickBot="1">
      <c r="B21" s="27" t="s">
        <v>97</v>
      </c>
    </row>
    <row r="22" ht="15" customHeight="1" thickBot="1">
      <c r="B22" s="27" t="s">
        <v>98</v>
      </c>
    </row>
    <row r="23" ht="17.25" customHeight="1" thickBot="1">
      <c r="B23" s="27" t="s">
        <v>99</v>
      </c>
    </row>
    <row r="24" ht="18" customHeight="1" thickBot="1">
      <c r="B24" s="27" t="s">
        <v>100</v>
      </c>
    </row>
    <row r="25" ht="17.25" customHeight="1" thickBot="1">
      <c r="B25" s="27" t="s">
        <v>101</v>
      </c>
    </row>
  </sheetData>
  <hyperlinks>
    <hyperlink ref="A1" location="'Plan du fichier'!A1" display="'Plan du fichier'!A1"/>
  </hyperlinks>
  <printOptions/>
  <pageMargins left="0.75" right="0.75" top="1" bottom="1" header="0.4921259845" footer="0.492125984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G24" sqref="G24"/>
    </sheetView>
  </sheetViews>
  <sheetFormatPr defaultColWidth="11.421875" defaultRowHeight="12.75"/>
  <cols>
    <col min="1" max="1" width="6.140625" style="0" customWidth="1"/>
    <col min="2" max="2" width="31.8515625" style="0" customWidth="1"/>
    <col min="3" max="3" width="10.8515625" style="0" customWidth="1"/>
    <col min="4" max="4" width="8.28125" style="0" customWidth="1"/>
  </cols>
  <sheetData>
    <row r="1" ht="12.75">
      <c r="A1" s="1" t="s">
        <v>37</v>
      </c>
    </row>
    <row r="3" ht="13.5" thickBot="1"/>
    <row r="4" spans="2:4" ht="20.25" customHeight="1" thickBot="1">
      <c r="B4" s="51" t="s">
        <v>460</v>
      </c>
      <c r="C4" s="51" t="s">
        <v>158</v>
      </c>
      <c r="D4" s="58">
        <v>2003</v>
      </c>
    </row>
    <row r="5" spans="2:4" ht="23.25" customHeight="1" thickBot="1">
      <c r="B5" s="11" t="s">
        <v>120</v>
      </c>
      <c r="C5" s="114" t="s">
        <v>121</v>
      </c>
      <c r="D5" s="60">
        <f>'4_Calcul de s'!D13</f>
        <v>0.019766819085487164</v>
      </c>
    </row>
    <row r="6" spans="2:4" ht="18.75" customHeight="1" thickBot="1">
      <c r="B6" s="11" t="s">
        <v>461</v>
      </c>
      <c r="C6" s="115" t="s">
        <v>42</v>
      </c>
      <c r="D6" s="60">
        <f>'7.9_Recap_p'!E25</f>
        <v>0.04555441427172879</v>
      </c>
    </row>
    <row r="7" spans="2:4" ht="15" thickBot="1">
      <c r="B7" s="11" t="s">
        <v>462</v>
      </c>
      <c r="C7" s="115" t="s">
        <v>378</v>
      </c>
      <c r="D7" s="60">
        <f>'8_Recap_coin fiscal'!E25</f>
        <v>0.025787595186241623</v>
      </c>
    </row>
    <row r="8" spans="2:4" ht="15" thickBot="1">
      <c r="B8" s="11" t="s">
        <v>415</v>
      </c>
      <c r="C8" s="115" t="s">
        <v>415</v>
      </c>
      <c r="D8" s="60">
        <f>'10_Recap_EMTR'!E25</f>
        <v>0.5487787492390556</v>
      </c>
    </row>
    <row r="9" spans="2:4" ht="17.25" thickBot="1">
      <c r="B9" s="11" t="s">
        <v>463</v>
      </c>
      <c r="C9" s="8" t="s">
        <v>464</v>
      </c>
      <c r="D9" s="60">
        <f>2_BDD_Effectif_IF_IAN!D6</f>
        <v>0.23931713179913777</v>
      </c>
    </row>
    <row r="10" spans="2:4" ht="26.25" thickBot="1">
      <c r="B10" s="11" t="s">
        <v>465</v>
      </c>
      <c r="C10" s="8" t="s">
        <v>466</v>
      </c>
      <c r="D10" s="60">
        <f>2_BDD_Effectif_IF_IAN!D10</f>
        <v>0.41659999999999997</v>
      </c>
    </row>
    <row r="11" spans="2:4" ht="16.5" thickBot="1">
      <c r="B11" s="11" t="s">
        <v>41</v>
      </c>
      <c r="C11" s="7" t="s">
        <v>42</v>
      </c>
      <c r="D11" s="60">
        <f>2_BDD_Effectif_IF_IAN!D5</f>
        <v>0.006</v>
      </c>
    </row>
  </sheetData>
  <hyperlinks>
    <hyperlink ref="A1" location="'Plan du fichier'!A1" display="'Plan du fichier'!A1"/>
  </hyperlinks>
  <printOptions/>
  <pageMargins left="0.75" right="0.75" top="1" bottom="1" header="0.4921259845" footer="0.492125984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G22" sqref="G22"/>
    </sheetView>
  </sheetViews>
  <sheetFormatPr defaultColWidth="11.421875" defaultRowHeight="12.75"/>
  <cols>
    <col min="1" max="1" width="6.140625" style="0" customWidth="1"/>
    <col min="2" max="2" width="31.8515625" style="0" customWidth="1"/>
    <col min="3" max="3" width="10.8515625" style="0" customWidth="1"/>
    <col min="4" max="4" width="8.28125" style="0" customWidth="1"/>
  </cols>
  <sheetData>
    <row r="1" ht="12.75">
      <c r="A1" s="1" t="s">
        <v>37</v>
      </c>
    </row>
    <row r="3" ht="13.5" thickBot="1"/>
    <row r="4" spans="2:4" ht="35.25" customHeight="1" thickBot="1">
      <c r="B4" s="52" t="s">
        <v>467</v>
      </c>
      <c r="C4" s="51" t="s">
        <v>158</v>
      </c>
      <c r="D4" s="58">
        <v>2003</v>
      </c>
    </row>
    <row r="5" spans="2:4" ht="23.25" customHeight="1" thickBot="1">
      <c r="B5" s="11" t="s">
        <v>120</v>
      </c>
      <c r="C5" s="114" t="s">
        <v>121</v>
      </c>
      <c r="D5" s="60">
        <f>'4_Calcul de s'!D13</f>
        <v>0.019766819085487164</v>
      </c>
    </row>
    <row r="6" spans="2:4" ht="5.25" customHeight="1" thickBot="1">
      <c r="B6" s="117"/>
      <c r="C6" s="117"/>
      <c r="D6" s="117"/>
    </row>
    <row r="7" spans="2:4" ht="27" customHeight="1" thickBot="1">
      <c r="B7" s="11" t="s">
        <v>324</v>
      </c>
      <c r="C7" s="115" t="s">
        <v>468</v>
      </c>
      <c r="D7" s="60">
        <f>'7.9_Recap_p'!E17</f>
        <v>0.04203669671251611</v>
      </c>
    </row>
    <row r="8" spans="2:4" ht="18.75" customHeight="1" thickBot="1">
      <c r="B8" s="11" t="s">
        <v>469</v>
      </c>
      <c r="C8" s="115" t="s">
        <v>470</v>
      </c>
      <c r="D8" s="60">
        <f>'7.9_Recap_p'!E18</f>
        <v>0.04700638416561275</v>
      </c>
    </row>
    <row r="9" spans="2:4" ht="18.75" customHeight="1" thickBot="1">
      <c r="B9" s="11" t="s">
        <v>471</v>
      </c>
      <c r="C9" s="115" t="s">
        <v>472</v>
      </c>
      <c r="D9" s="60">
        <f>'7.9_Recap_p'!E19</f>
        <v>0.05170126522317799</v>
      </c>
    </row>
    <row r="10" spans="2:4" ht="18.75" customHeight="1" thickBot="1">
      <c r="B10" s="11" t="s">
        <v>473</v>
      </c>
      <c r="C10" s="115" t="s">
        <v>42</v>
      </c>
      <c r="D10" s="60">
        <f>'7.9_Recap_p'!E20</f>
        <v>0.04555441427172879</v>
      </c>
    </row>
    <row r="11" spans="2:4" ht="7.5" customHeight="1" thickBot="1">
      <c r="B11" s="117"/>
      <c r="C11" s="117"/>
      <c r="D11" s="117"/>
    </row>
    <row r="12" spans="2:4" ht="18" thickBot="1">
      <c r="B12" s="11" t="s">
        <v>474</v>
      </c>
      <c r="C12" s="115" t="s">
        <v>475</v>
      </c>
      <c r="D12" s="60">
        <f>'8_Recap_coin fiscal'!E17</f>
        <v>0.022269877627028943</v>
      </c>
    </row>
    <row r="13" spans="2:4" ht="18" thickBot="1">
      <c r="B13" s="11" t="s">
        <v>476</v>
      </c>
      <c r="C13" s="115" t="s">
        <v>477</v>
      </c>
      <c r="D13" s="60">
        <f>'8_Recap_coin fiscal'!E18</f>
        <v>0.027239565080125587</v>
      </c>
    </row>
    <row r="14" spans="2:4" ht="18" thickBot="1">
      <c r="B14" s="11" t="s">
        <v>478</v>
      </c>
      <c r="C14" s="115" t="s">
        <v>479</v>
      </c>
      <c r="D14" s="60">
        <f>'8_Recap_coin fiscal'!E19</f>
        <v>0.03193444613769083</v>
      </c>
    </row>
    <row r="15" spans="2:4" ht="15" thickBot="1">
      <c r="B15" s="11" t="s">
        <v>480</v>
      </c>
      <c r="C15" s="115" t="s">
        <v>378</v>
      </c>
      <c r="D15" s="60">
        <f>'8_Recap_coin fiscal'!E20</f>
        <v>0.025787595186241623</v>
      </c>
    </row>
    <row r="16" spans="2:4" ht="6" customHeight="1" thickBot="1">
      <c r="B16" s="117"/>
      <c r="C16" s="117"/>
      <c r="D16" s="117"/>
    </row>
    <row r="17" spans="2:4" ht="18" thickBot="1">
      <c r="B17" s="11" t="s">
        <v>439</v>
      </c>
      <c r="C17" s="115" t="s">
        <v>481</v>
      </c>
      <c r="D17" s="60">
        <f>'10_Recap_EMTR'!E17</f>
        <v>0.5143042458673821</v>
      </c>
    </row>
    <row r="18" spans="2:4" ht="18" thickBot="1">
      <c r="B18" s="11" t="s">
        <v>482</v>
      </c>
      <c r="C18" s="115" t="s">
        <v>483</v>
      </c>
      <c r="D18" s="60">
        <f>'10_Recap_EMTR'!E18</f>
        <v>0.5653173161149343</v>
      </c>
    </row>
    <row r="19" spans="2:4" ht="18" thickBot="1">
      <c r="B19" s="11" t="s">
        <v>484</v>
      </c>
      <c r="C19" s="115" t="s">
        <v>485</v>
      </c>
      <c r="D19" s="60">
        <f>'10_Recap_EMTR'!E19</f>
        <v>0.6060808081508318</v>
      </c>
    </row>
    <row r="20" spans="2:4" ht="15" thickBot="1">
      <c r="B20" s="11" t="s">
        <v>486</v>
      </c>
      <c r="C20" s="115" t="s">
        <v>415</v>
      </c>
      <c r="D20" s="60">
        <f>'10_Recap_EMTR'!E20</f>
        <v>0.5487787492390557</v>
      </c>
    </row>
    <row r="21" spans="2:4" ht="13.5" thickBot="1">
      <c r="B21" s="117"/>
      <c r="C21" s="117"/>
      <c r="D21" s="117"/>
    </row>
  </sheetData>
  <hyperlinks>
    <hyperlink ref="A1" location="'Plan du fichier'!A1" display="'Plan du fichier'!A1"/>
  </hyperlinks>
  <printOptions/>
  <pageMargins left="0.75" right="0.75" top="1" bottom="1" header="0.4921259845" footer="0.492125984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C24" sqref="C24"/>
    </sheetView>
  </sheetViews>
  <sheetFormatPr defaultColWidth="11.421875" defaultRowHeight="12.75"/>
  <cols>
    <col min="1" max="1" width="6.140625" style="0" customWidth="1"/>
    <col min="2" max="2" width="31.8515625" style="0" customWidth="1"/>
    <col min="3" max="3" width="10.8515625" style="0" customWidth="1"/>
    <col min="4" max="4" width="8.28125" style="0" customWidth="1"/>
  </cols>
  <sheetData>
    <row r="1" ht="12.75">
      <c r="A1" s="1" t="s">
        <v>37</v>
      </c>
    </row>
    <row r="3" ht="13.5" thickBot="1"/>
    <row r="4" spans="2:4" ht="33" customHeight="1" thickBot="1">
      <c r="B4" s="52" t="s">
        <v>487</v>
      </c>
      <c r="C4" s="51" t="s">
        <v>158</v>
      </c>
      <c r="D4" s="58">
        <v>2003</v>
      </c>
    </row>
    <row r="5" spans="2:4" ht="23.25" customHeight="1" thickBot="1">
      <c r="B5" s="11" t="s">
        <v>120</v>
      </c>
      <c r="C5" s="114" t="s">
        <v>121</v>
      </c>
      <c r="D5" s="60">
        <f>'4_Calcul de s'!D13</f>
        <v>0.019766819085487164</v>
      </c>
    </row>
    <row r="6" spans="2:4" ht="5.25" customHeight="1" thickBot="1">
      <c r="B6" s="117"/>
      <c r="C6" s="117"/>
      <c r="D6" s="117"/>
    </row>
    <row r="7" spans="2:4" ht="18.75" customHeight="1" thickBot="1">
      <c r="B7" s="11" t="s">
        <v>488</v>
      </c>
      <c r="C7" s="115" t="s">
        <v>489</v>
      </c>
      <c r="D7" s="60">
        <f>'7.8_Recap_p_forme de fin'!E5</f>
        <v>0.050169023973910244</v>
      </c>
    </row>
    <row r="8" spans="2:4" ht="18.75" customHeight="1" thickBot="1">
      <c r="B8" s="11" t="s">
        <v>490</v>
      </c>
      <c r="C8" s="115" t="s">
        <v>491</v>
      </c>
      <c r="D8" s="60">
        <f>'7.8_Recap_p_forme de fin'!E6</f>
        <v>0.03875742883500275</v>
      </c>
    </row>
    <row r="9" spans="2:4" ht="18.75" customHeight="1" thickBot="1">
      <c r="B9" s="11" t="s">
        <v>492</v>
      </c>
      <c r="C9" s="115" t="s">
        <v>493</v>
      </c>
      <c r="D9" s="60">
        <f>'7.8_Recap_p_forme de fin'!E7</f>
        <v>0.06678670021608683</v>
      </c>
    </row>
    <row r="10" spans="2:4" ht="18.75" customHeight="1" thickBot="1">
      <c r="B10" s="11" t="s">
        <v>473</v>
      </c>
      <c r="C10" s="115" t="s">
        <v>42</v>
      </c>
      <c r="D10" s="60">
        <f>'12_Recap_par type d''invest'!D10</f>
        <v>0.04555441427172879</v>
      </c>
    </row>
    <row r="11" spans="2:4" ht="7.5" customHeight="1" thickBot="1">
      <c r="B11" s="117"/>
      <c r="C11" s="117"/>
      <c r="D11" s="117"/>
    </row>
    <row r="12" spans="2:4" ht="18" thickBot="1">
      <c r="B12" s="11" t="s">
        <v>494</v>
      </c>
      <c r="C12" s="115" t="s">
        <v>495</v>
      </c>
      <c r="D12" s="60">
        <f>'8_Recap_coin fiscal'!E22</f>
        <v>0.03040220488842308</v>
      </c>
    </row>
    <row r="13" spans="2:4" ht="18" thickBot="1">
      <c r="B13" s="11" t="s">
        <v>496</v>
      </c>
      <c r="C13" s="115" t="s">
        <v>497</v>
      </c>
      <c r="D13" s="60">
        <f>'8_Recap_coin fiscal'!E23</f>
        <v>0.018990609749515587</v>
      </c>
    </row>
    <row r="14" spans="2:4" ht="18" thickBot="1">
      <c r="B14" s="11" t="s">
        <v>498</v>
      </c>
      <c r="C14" s="115" t="s">
        <v>499</v>
      </c>
      <c r="D14" s="60">
        <f>'8_Recap_coin fiscal'!E24</f>
        <v>0.04701988113059967</v>
      </c>
    </row>
    <row r="15" spans="2:4" ht="15" thickBot="1">
      <c r="B15" s="11" t="s">
        <v>480</v>
      </c>
      <c r="C15" s="115" t="s">
        <v>378</v>
      </c>
      <c r="D15" s="60">
        <f>'12_Recap_par type d''invest'!D15</f>
        <v>0.025787595186241623</v>
      </c>
    </row>
    <row r="16" spans="2:4" ht="6" customHeight="1" thickBot="1">
      <c r="B16" s="117"/>
      <c r="C16" s="117"/>
      <c r="D16" s="117"/>
    </row>
    <row r="17" spans="2:4" ht="18" thickBot="1">
      <c r="B17" s="11" t="s">
        <v>500</v>
      </c>
      <c r="C17" s="115" t="s">
        <v>481</v>
      </c>
      <c r="D17" s="60">
        <f>'10_Recap_EMTR'!E22</f>
        <v>0.6032956636942626</v>
      </c>
    </row>
    <row r="18" spans="2:4" ht="18" thickBot="1">
      <c r="B18" s="11" t="s">
        <v>501</v>
      </c>
      <c r="C18" s="115" t="s">
        <v>483</v>
      </c>
      <c r="D18" s="60">
        <f>'10_Recap_EMTR'!E23</f>
        <v>0.48620145093058326</v>
      </c>
    </row>
    <row r="19" spans="2:4" ht="18" thickBot="1">
      <c r="B19" s="11" t="s">
        <v>502</v>
      </c>
      <c r="C19" s="115" t="s">
        <v>485</v>
      </c>
      <c r="D19" s="60">
        <f>'10_Recap_EMTR'!E24</f>
        <v>0.7021446893424291</v>
      </c>
    </row>
    <row r="20" spans="2:4" ht="15" thickBot="1">
      <c r="B20" s="11" t="s">
        <v>486</v>
      </c>
      <c r="C20" s="115" t="s">
        <v>415</v>
      </c>
      <c r="D20" s="60">
        <f>'12_Recap_par type d''invest'!D20</f>
        <v>0.5487787492390557</v>
      </c>
    </row>
    <row r="21" spans="2:4" ht="13.5" thickBot="1">
      <c r="B21" s="117"/>
      <c r="C21" s="117"/>
      <c r="D21" s="117"/>
    </row>
  </sheetData>
  <hyperlinks>
    <hyperlink ref="A1" location="'Plan du fichier'!A1" display="'Plan du fichier'!A1"/>
  </hyperlinks>
  <printOptions/>
  <pageMargins left="0.75" right="0.75" top="1" bottom="1" header="0.4921259845" footer="0.492125984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T39"/>
  <sheetViews>
    <sheetView workbookViewId="0" topLeftCell="A1">
      <selection activeCell="G2" sqref="G2"/>
    </sheetView>
  </sheetViews>
  <sheetFormatPr defaultColWidth="11.421875" defaultRowHeight="12.75"/>
  <cols>
    <col min="2" max="2" width="14.421875" style="0" customWidth="1"/>
    <col min="4" max="4" width="12.28125" style="0" customWidth="1"/>
    <col min="5" max="5" width="12.140625" style="0" customWidth="1"/>
    <col min="6" max="6" width="12.7109375" style="0" customWidth="1"/>
    <col min="7" max="7" width="11.00390625" style="0" customWidth="1"/>
    <col min="9" max="9" width="12.00390625" style="0" customWidth="1"/>
  </cols>
  <sheetData>
    <row r="1" ht="12.75">
      <c r="A1" s="1" t="s">
        <v>37</v>
      </c>
    </row>
    <row r="2" spans="10:11" ht="13.5" thickBot="1">
      <c r="J2" s="2"/>
      <c r="K2" s="2"/>
    </row>
    <row r="3" spans="2:11" ht="39" customHeight="1" thickBot="1">
      <c r="B3" s="184" t="s">
        <v>3</v>
      </c>
      <c r="C3" s="185"/>
      <c r="D3" s="185"/>
      <c r="E3" s="185"/>
      <c r="F3" s="185"/>
      <c r="G3" s="40" t="s">
        <v>161</v>
      </c>
      <c r="J3" s="2"/>
      <c r="K3" s="2"/>
    </row>
    <row r="4" spans="2:20" ht="28.5" customHeight="1" thickBot="1">
      <c r="B4" s="186" t="s">
        <v>513</v>
      </c>
      <c r="C4" s="187"/>
      <c r="D4" s="45" t="s">
        <v>514</v>
      </c>
      <c r="E4" s="45" t="s">
        <v>282</v>
      </c>
      <c r="F4" s="45" t="s">
        <v>283</v>
      </c>
      <c r="G4" s="118" t="s">
        <v>515</v>
      </c>
      <c r="J4" s="119"/>
      <c r="K4" s="119"/>
      <c r="L4" s="119"/>
      <c r="M4" s="119"/>
      <c r="N4" s="119"/>
      <c r="O4" s="119"/>
      <c r="P4" s="120"/>
      <c r="Q4" s="120"/>
      <c r="R4" s="121"/>
      <c r="S4" s="2"/>
      <c r="T4" s="2"/>
    </row>
    <row r="5" spans="2:20" ht="38.25" customHeight="1" thickBot="1">
      <c r="B5" s="3" t="s">
        <v>504</v>
      </c>
      <c r="C5" s="122" t="s">
        <v>280</v>
      </c>
      <c r="D5" s="99">
        <v>0.35</v>
      </c>
      <c r="E5" s="99">
        <v>0.55</v>
      </c>
      <c r="F5" s="99">
        <v>0.1</v>
      </c>
      <c r="G5" s="123">
        <f>SUM(D5:F5)</f>
        <v>1</v>
      </c>
      <c r="J5" s="119"/>
      <c r="K5" s="119"/>
      <c r="L5" s="121"/>
      <c r="M5" s="121"/>
      <c r="N5" s="121"/>
      <c r="O5" s="119"/>
      <c r="P5" s="119"/>
      <c r="Q5" s="119"/>
      <c r="R5" s="120"/>
      <c r="S5" s="2"/>
      <c r="T5" s="2"/>
    </row>
    <row r="6" spans="2:20" ht="23.25" customHeight="1" thickBot="1">
      <c r="B6" s="124" t="s">
        <v>327</v>
      </c>
      <c r="C6" s="99">
        <v>0.5</v>
      </c>
      <c r="D6" s="125">
        <f>'7.9_Recap_p'!$E$5</f>
        <v>0.046326121038565066</v>
      </c>
      <c r="E6" s="125">
        <f>'7.9_Recap_p'!$E$6</f>
        <v>0.035721498033179394</v>
      </c>
      <c r="F6" s="125">
        <f>'7.9_Recap_p'!$E$7</f>
        <v>0.06175730430769666</v>
      </c>
      <c r="G6" s="126">
        <f>(D6*$D$5)+(E6*$E$5)+(F6*$F$5)</f>
        <v>0.04203669671251611</v>
      </c>
      <c r="J6" s="22"/>
      <c r="K6" s="121"/>
      <c r="L6" s="127"/>
      <c r="M6" s="127"/>
      <c r="N6" s="127"/>
      <c r="O6" s="127"/>
      <c r="P6" s="127"/>
      <c r="Q6" s="127"/>
      <c r="R6" s="127"/>
      <c r="S6" s="2"/>
      <c r="T6" s="2"/>
    </row>
    <row r="7" spans="2:20" ht="15" thickBot="1">
      <c r="B7" s="124" t="s">
        <v>328</v>
      </c>
      <c r="C7" s="99">
        <v>0.28</v>
      </c>
      <c r="D7" s="125">
        <f>'7.9_Recap_p'!$E$9</f>
        <v>0.05183655019574226</v>
      </c>
      <c r="E7" s="125">
        <f>'7.9_Recap_p'!$E$10</f>
        <v>0.03986242822934117</v>
      </c>
      <c r="F7" s="125">
        <f>'7.9_Recap_p'!$E$11</f>
        <v>0.06939256070965313</v>
      </c>
      <c r="G7" s="126">
        <f>(D7*$D$5)+(E7*$E$5)+(F7*$F$5)</f>
        <v>0.04700638416561275</v>
      </c>
      <c r="J7" s="22"/>
      <c r="K7" s="121"/>
      <c r="L7" s="127"/>
      <c r="M7" s="127"/>
      <c r="N7" s="127"/>
      <c r="O7" s="127"/>
      <c r="P7" s="127"/>
      <c r="Q7" s="127"/>
      <c r="R7" s="127"/>
      <c r="S7" s="2"/>
      <c r="T7" s="2"/>
    </row>
    <row r="8" spans="2:20" ht="15" thickBot="1">
      <c r="B8" s="124" t="s">
        <v>329</v>
      </c>
      <c r="C8" s="99">
        <v>0.22</v>
      </c>
      <c r="D8" s="125">
        <f>'7.9_Recap_p'!$E$13</f>
        <v>0.05678058818099944</v>
      </c>
      <c r="E8" s="125">
        <f>'7.9_Recap_p'!$E$14</f>
        <v>0.04425090870089784</v>
      </c>
      <c r="F8" s="125">
        <f>'7.9_Recap_p'!$E$15</f>
        <v>0.07490059574334376</v>
      </c>
      <c r="G8" s="126">
        <f>(D8*$D$5)+(E8*$E$5)+(F8*$F$5)</f>
        <v>0.05170126522317799</v>
      </c>
      <c r="I8" s="128"/>
      <c r="J8" s="22"/>
      <c r="K8" s="121"/>
      <c r="L8" s="127"/>
      <c r="M8" s="127"/>
      <c r="N8" s="127"/>
      <c r="O8" s="127"/>
      <c r="P8" s="127"/>
      <c r="Q8" s="127"/>
      <c r="R8" s="127"/>
      <c r="S8" s="2"/>
      <c r="T8" s="2"/>
    </row>
    <row r="9" spans="2:11" ht="29.25" customHeight="1" thickBot="1">
      <c r="B9" s="9" t="s">
        <v>515</v>
      </c>
      <c r="C9" s="99">
        <f>SUM(C6:C8)</f>
        <v>1</v>
      </c>
      <c r="D9" s="113">
        <f>(D6*$C$6)+(D7*$C$7)+(D8*$C$8)</f>
        <v>0.050169023973910244</v>
      </c>
      <c r="E9" s="113">
        <f>(E6*$C$6)+(E7*$C$7)+(E8*$C$8)</f>
        <v>0.03875742883500275</v>
      </c>
      <c r="F9" s="113">
        <f>(F6*$C$6)+(F7*$C$7)+(F8*$C$8)</f>
        <v>0.06678670021608683</v>
      </c>
      <c r="G9" s="126">
        <f>(D9*$D$5)+(E9*$E$5)+(F9*$F$5)</f>
        <v>0.04555441427172879</v>
      </c>
      <c r="J9" s="2"/>
      <c r="K9" s="2"/>
    </row>
    <row r="10" spans="7:11" ht="12.75">
      <c r="G10" s="116"/>
      <c r="J10" s="2"/>
      <c r="K10" s="2"/>
    </row>
    <row r="11" spans="10:11" ht="13.5" thickBot="1">
      <c r="J11" s="2"/>
      <c r="K11" s="2"/>
    </row>
    <row r="12" spans="2:11" ht="36.75" customHeight="1" thickBot="1">
      <c r="B12" s="184" t="s">
        <v>2</v>
      </c>
      <c r="C12" s="185"/>
      <c r="D12" s="185"/>
      <c r="E12" s="185"/>
      <c r="F12" s="185"/>
      <c r="G12" s="40" t="str">
        <f>G3</f>
        <v>ZH</v>
      </c>
      <c r="J12" s="119"/>
      <c r="K12" s="119"/>
    </row>
    <row r="13" spans="2:11" ht="39" customHeight="1" thickBot="1">
      <c r="B13" s="186" t="s">
        <v>513</v>
      </c>
      <c r="C13" s="187"/>
      <c r="D13" s="45" t="s">
        <v>514</v>
      </c>
      <c r="E13" s="45" t="s">
        <v>282</v>
      </c>
      <c r="F13" s="45" t="s">
        <v>283</v>
      </c>
      <c r="G13" s="118" t="s">
        <v>515</v>
      </c>
      <c r="J13" s="119"/>
      <c r="K13" s="119"/>
    </row>
    <row r="14" spans="2:11" ht="34.5" thickBot="1">
      <c r="B14" s="3" t="s">
        <v>504</v>
      </c>
      <c r="C14" s="122" t="s">
        <v>280</v>
      </c>
      <c r="D14" s="129">
        <v>0.35</v>
      </c>
      <c r="E14" s="129">
        <v>0.55</v>
      </c>
      <c r="F14" s="129">
        <v>0.1</v>
      </c>
      <c r="G14" s="130">
        <f>SUM(D14:F14)</f>
        <v>1</v>
      </c>
      <c r="J14" s="119"/>
      <c r="K14" s="119"/>
    </row>
    <row r="15" spans="2:7" ht="13.5" thickBot="1">
      <c r="B15" s="124" t="s">
        <v>327</v>
      </c>
      <c r="C15" s="129">
        <v>0.5</v>
      </c>
      <c r="D15" s="125">
        <f>D6-'4_Calcul de s'!$D$13</f>
        <v>0.026559301953077902</v>
      </c>
      <c r="E15" s="125">
        <f>E6-'4_Calcul de s'!$D$13</f>
        <v>0.01595467894769223</v>
      </c>
      <c r="F15" s="125">
        <f>F6-'4_Calcul de s'!$D$13</f>
        <v>0.041990485222209495</v>
      </c>
      <c r="G15" s="126">
        <f>(D15*$D$14)+(E15*$E$14)+(F15*$F$14)</f>
        <v>0.022269877627028943</v>
      </c>
    </row>
    <row r="16" spans="2:7" ht="13.5" thickBot="1">
      <c r="B16" s="124" t="s">
        <v>328</v>
      </c>
      <c r="C16" s="129">
        <v>0.28</v>
      </c>
      <c r="D16" s="125">
        <f>D7-'4_Calcul de s'!$D$13</f>
        <v>0.032069731110255094</v>
      </c>
      <c r="E16" s="125">
        <f>E7-'4_Calcul de s'!$D$13</f>
        <v>0.020095609143854005</v>
      </c>
      <c r="F16" s="125">
        <f>F7-'4_Calcul de s'!$D$13</f>
        <v>0.04962574162416597</v>
      </c>
      <c r="G16" s="126">
        <f>(D16*$D$14)+(E16*$E$14)+(F16*$F$14)</f>
        <v>0.027239565080125584</v>
      </c>
    </row>
    <row r="17" spans="2:7" ht="13.5" thickBot="1">
      <c r="B17" s="124" t="s">
        <v>329</v>
      </c>
      <c r="C17" s="129">
        <v>0.22</v>
      </c>
      <c r="D17" s="125">
        <f>D8-'4_Calcul de s'!$D$13</f>
        <v>0.037013769095512274</v>
      </c>
      <c r="E17" s="125">
        <f>E8-'4_Calcul de s'!$D$13</f>
        <v>0.024484089615410674</v>
      </c>
      <c r="F17" s="125">
        <f>F8-'4_Calcul de s'!$D$13</f>
        <v>0.0551337766578566</v>
      </c>
      <c r="G17" s="126">
        <f>(D17*$D$14)+(E17*$E$14)+(F17*$F$14)</f>
        <v>0.03193444613769083</v>
      </c>
    </row>
    <row r="18" spans="2:7" ht="26.25" thickBot="1">
      <c r="B18" s="9" t="s">
        <v>515</v>
      </c>
      <c r="C18" s="129">
        <f>SUM(C15:C17)</f>
        <v>1</v>
      </c>
      <c r="D18" s="131">
        <f>($D$15*$C$15)+($D$16*$C$16)+($D$17*$C$17)</f>
        <v>0.03040220488842308</v>
      </c>
      <c r="E18" s="131">
        <f>($E$15*$C$15)+($E$16*$C$16)+($E$17*$C$17)</f>
        <v>0.018990609749515584</v>
      </c>
      <c r="F18" s="131">
        <f>($F$15*$C$15)+($F$16*$C$16)+($F$17*$C$17)</f>
        <v>0.04701988113059967</v>
      </c>
      <c r="G18" s="126">
        <f>(D18*$D$14)+(E18*$E$14)+(F18*$F$14)</f>
        <v>0.025787595186241616</v>
      </c>
    </row>
    <row r="19" ht="12.75">
      <c r="G19" s="116"/>
    </row>
    <row r="21" ht="13.5" thickBot="1"/>
    <row r="22" spans="2:7" ht="26.25" customHeight="1" thickBot="1">
      <c r="B22" s="184" t="s">
        <v>1</v>
      </c>
      <c r="C22" s="185"/>
      <c r="D22" s="185"/>
      <c r="E22" s="185"/>
      <c r="F22" s="185"/>
      <c r="G22" s="40" t="str">
        <f>G12</f>
        <v>ZH</v>
      </c>
    </row>
    <row r="23" spans="2:7" ht="26.25" thickBot="1">
      <c r="B23" s="186" t="s">
        <v>513</v>
      </c>
      <c r="C23" s="187"/>
      <c r="D23" s="45" t="s">
        <v>514</v>
      </c>
      <c r="E23" s="45" t="s">
        <v>282</v>
      </c>
      <c r="F23" s="45" t="s">
        <v>283</v>
      </c>
      <c r="G23" s="118" t="s">
        <v>515</v>
      </c>
    </row>
    <row r="24" spans="2:7" ht="34.5" thickBot="1">
      <c r="B24" s="3" t="s">
        <v>504</v>
      </c>
      <c r="C24" s="132" t="s">
        <v>280</v>
      </c>
      <c r="D24" s="129">
        <v>0.35</v>
      </c>
      <c r="E24" s="129">
        <v>0.55</v>
      </c>
      <c r="F24" s="129">
        <v>0.1</v>
      </c>
      <c r="G24" s="130">
        <f>SUM(D24:F24)</f>
        <v>1</v>
      </c>
    </row>
    <row r="25" spans="2:7" ht="13.5" thickBot="1">
      <c r="B25" s="124" t="s">
        <v>327</v>
      </c>
      <c r="C25" s="129">
        <v>0.5</v>
      </c>
      <c r="D25" s="125">
        <f>D15/D6</f>
        <v>0.5733115865877936</v>
      </c>
      <c r="E25" s="125">
        <f>E15/E6</f>
        <v>0.44664081368796343</v>
      </c>
      <c r="F25" s="125">
        <f>F15/F6</f>
        <v>0.679927430332744</v>
      </c>
      <c r="G25" s="133">
        <f>($D$24*D25)+($E$24*E25)+($F$24*F25)</f>
        <v>0.5143042458673821</v>
      </c>
    </row>
    <row r="26" spans="2:7" ht="13.5" thickBot="1">
      <c r="B26" s="124" t="s">
        <v>328</v>
      </c>
      <c r="C26" s="129">
        <v>0.28</v>
      </c>
      <c r="D26" s="125">
        <f aca="true" t="shared" si="0" ref="D26:F27">D16/D7</f>
        <v>0.6186702430843716</v>
      </c>
      <c r="E26" s="125">
        <f t="shared" si="0"/>
        <v>0.5041240595840676</v>
      </c>
      <c r="F26" s="125">
        <f t="shared" si="0"/>
        <v>0.7151449826416707</v>
      </c>
      <c r="G26" s="133">
        <f>($D$24*D26)+($E$24*E26)+($F$24*F26)</f>
        <v>0.5653173161149343</v>
      </c>
    </row>
    <row r="27" spans="2:7" ht="13.5" thickBot="1">
      <c r="B27" s="124" t="s">
        <v>329</v>
      </c>
      <c r="C27" s="129">
        <v>0.22</v>
      </c>
      <c r="D27" s="125">
        <f t="shared" si="0"/>
        <v>0.6518736469851899</v>
      </c>
      <c r="E27" s="125">
        <f t="shared" si="0"/>
        <v>0.5533013972866483</v>
      </c>
      <c r="F27" s="125">
        <f t="shared" si="0"/>
        <v>0.7360926319835874</v>
      </c>
      <c r="G27" s="133">
        <f>($D$24*D27)+($E$24*E27)+($F$24*F27)</f>
        <v>0.6060808081508318</v>
      </c>
    </row>
    <row r="28" spans="2:7" ht="26.25" thickBot="1">
      <c r="B28" s="9" t="s">
        <v>515</v>
      </c>
      <c r="C28" s="129">
        <f>SUM(C25:C27)</f>
        <v>1</v>
      </c>
      <c r="D28" s="133">
        <f>($C$25*D25)+($C$26*D26)+($C$27*D27)</f>
        <v>0.6032956636942626</v>
      </c>
      <c r="E28" s="133">
        <f>($C$25*E25)+($C$26*E26)+($C$27*E27)</f>
        <v>0.48620145093058326</v>
      </c>
      <c r="F28" s="133">
        <f>($C$25*F25)+($C$26*F26)+($C$27*F27)</f>
        <v>0.7021446893424291</v>
      </c>
      <c r="G28" s="133">
        <f>($D$24*D28)+($E$24*E28)+($F$24*F28)</f>
        <v>0.5487787492390556</v>
      </c>
    </row>
    <row r="29" spans="4:7" ht="12.75">
      <c r="D29" s="134"/>
      <c r="E29" s="134"/>
      <c r="F29" s="134"/>
      <c r="G29" s="134"/>
    </row>
    <row r="34" ht="13.5" thickBot="1"/>
    <row r="35" spans="2:10" ht="25.5" customHeight="1" thickBot="1">
      <c r="B35" s="189" t="s">
        <v>0</v>
      </c>
      <c r="C35" s="190"/>
      <c r="D35" s="172" t="s">
        <v>503</v>
      </c>
      <c r="E35" s="173"/>
      <c r="F35" s="173"/>
      <c r="G35" s="172" t="s">
        <v>504</v>
      </c>
      <c r="H35" s="188"/>
      <c r="I35" s="142"/>
      <c r="J35" s="135" t="str">
        <f>G3</f>
        <v>ZH</v>
      </c>
    </row>
    <row r="36" spans="2:10" ht="47.25" customHeight="1" thickBot="1">
      <c r="B36" s="191"/>
      <c r="C36" s="192"/>
      <c r="D36" s="115" t="s">
        <v>208</v>
      </c>
      <c r="E36" s="115" t="s">
        <v>506</v>
      </c>
      <c r="F36" s="115" t="s">
        <v>507</v>
      </c>
      <c r="G36" s="35" t="s">
        <v>508</v>
      </c>
      <c r="H36" s="35" t="s">
        <v>509</v>
      </c>
      <c r="I36" s="35" t="s">
        <v>329</v>
      </c>
      <c r="J36" s="135" t="s">
        <v>505</v>
      </c>
    </row>
    <row r="37" spans="2:10" ht="15" thickBot="1">
      <c r="B37" s="11" t="s">
        <v>510</v>
      </c>
      <c r="C37" s="115" t="s">
        <v>42</v>
      </c>
      <c r="D37" s="60">
        <f>D9</f>
        <v>0.050169023973910244</v>
      </c>
      <c r="E37" s="60">
        <f>E9</f>
        <v>0.03875742883500275</v>
      </c>
      <c r="F37" s="60">
        <f>F9</f>
        <v>0.06678670021608683</v>
      </c>
      <c r="G37" s="60">
        <f>$G$6</f>
        <v>0.04203669671251611</v>
      </c>
      <c r="H37" s="60">
        <f>$G$7</f>
        <v>0.04700638416561275</v>
      </c>
      <c r="I37" s="60">
        <f>$G$8</f>
        <v>0.05170126522317799</v>
      </c>
      <c r="J37" s="60">
        <f>G9</f>
        <v>0.04555441427172879</v>
      </c>
    </row>
    <row r="38" spans="2:10" ht="15" thickBot="1">
      <c r="B38" s="11" t="s">
        <v>511</v>
      </c>
      <c r="C38" s="115" t="s">
        <v>378</v>
      </c>
      <c r="D38" s="60">
        <f>D18</f>
        <v>0.03040220488842308</v>
      </c>
      <c r="E38" s="60">
        <f>E18</f>
        <v>0.018990609749515584</v>
      </c>
      <c r="F38" s="60">
        <f>F18</f>
        <v>0.04701988113059967</v>
      </c>
      <c r="G38" s="60">
        <f>$G$15</f>
        <v>0.022269877627028943</v>
      </c>
      <c r="H38" s="60">
        <f>$G$16</f>
        <v>0.027239565080125584</v>
      </c>
      <c r="I38" s="60">
        <f>$G$17</f>
        <v>0.03193444613769083</v>
      </c>
      <c r="J38" s="60">
        <f>G18</f>
        <v>0.025787595186241616</v>
      </c>
    </row>
    <row r="39" spans="2:10" ht="15" thickBot="1">
      <c r="B39" s="11" t="s">
        <v>512</v>
      </c>
      <c r="C39" s="115" t="s">
        <v>415</v>
      </c>
      <c r="D39" s="60">
        <f>D28</f>
        <v>0.6032956636942626</v>
      </c>
      <c r="E39" s="60">
        <f>E28</f>
        <v>0.48620145093058326</v>
      </c>
      <c r="F39" s="60">
        <f>F28</f>
        <v>0.7021446893424291</v>
      </c>
      <c r="G39" s="60">
        <f>G25</f>
        <v>0.5143042458673821</v>
      </c>
      <c r="H39" s="60">
        <f>G26</f>
        <v>0.5653173161149343</v>
      </c>
      <c r="I39" s="60">
        <f>G27</f>
        <v>0.6060808081508318</v>
      </c>
      <c r="J39" s="60">
        <f>G28</f>
        <v>0.5487787492390556</v>
      </c>
    </row>
  </sheetData>
  <mergeCells count="9">
    <mergeCell ref="G35:I35"/>
    <mergeCell ref="B22:F22"/>
    <mergeCell ref="B23:C23"/>
    <mergeCell ref="B35:C36"/>
    <mergeCell ref="D35:F35"/>
    <mergeCell ref="B3:F3"/>
    <mergeCell ref="B4:C4"/>
    <mergeCell ref="B12:F12"/>
    <mergeCell ref="B13:C13"/>
  </mergeCells>
  <hyperlinks>
    <hyperlink ref="A1" location="'Plan du fichier'!A1" display="'Plan du fichier'!A1"/>
  </hyperlinks>
  <printOptions/>
  <pageMargins left="0.75" right="0.75" top="1" bottom="1" header="0.4921259845" footer="0.492125984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B18">
      <selection activeCell="B22" sqref="B22"/>
    </sheetView>
  </sheetViews>
  <sheetFormatPr defaultColWidth="11.421875" defaultRowHeight="12.75"/>
  <cols>
    <col min="1" max="1" width="9.57421875" style="0" customWidth="1"/>
    <col min="2" max="2" width="43.421875" style="0" customWidth="1"/>
    <col min="3" max="3" width="19.140625" style="0" customWidth="1"/>
    <col min="4" max="4" width="15.00390625" style="0" customWidth="1"/>
    <col min="5" max="5" width="15.140625" style="0" customWidth="1"/>
    <col min="6" max="6" width="44.57421875" style="28" customWidth="1"/>
  </cols>
  <sheetData>
    <row r="1" ht="12.75">
      <c r="A1" s="1" t="s">
        <v>37</v>
      </c>
    </row>
    <row r="2" ht="12.75"/>
    <row r="3" ht="6.75" customHeight="1" thickBot="1"/>
    <row r="4" spans="2:6" ht="18.75" customHeight="1" thickBot="1">
      <c r="B4" s="145" t="s">
        <v>102</v>
      </c>
      <c r="C4" s="146"/>
      <c r="D4" s="146"/>
      <c r="E4" s="146"/>
      <c r="F4" s="147"/>
    </row>
    <row r="5" spans="2:6" ht="41.25" customHeight="1" thickBot="1">
      <c r="B5" s="29" t="s">
        <v>103</v>
      </c>
      <c r="C5" s="30" t="s">
        <v>104</v>
      </c>
      <c r="D5" s="30" t="s">
        <v>105</v>
      </c>
      <c r="E5" s="31" t="s">
        <v>106</v>
      </c>
      <c r="F5" s="3" t="s">
        <v>107</v>
      </c>
    </row>
    <row r="6" spans="2:6" ht="22.5" customHeight="1" thickBot="1">
      <c r="B6" s="32" t="s">
        <v>108</v>
      </c>
      <c r="C6" s="33">
        <v>1</v>
      </c>
      <c r="D6" s="34" t="s">
        <v>40</v>
      </c>
      <c r="E6" s="35" t="s">
        <v>109</v>
      </c>
      <c r="F6" s="36" t="s">
        <v>110</v>
      </c>
    </row>
    <row r="7" spans="2:6" ht="22.5" customHeight="1" thickBot="1">
      <c r="B7" s="32" t="s">
        <v>41</v>
      </c>
      <c r="C7" s="37">
        <v>2</v>
      </c>
      <c r="D7" s="38" t="s">
        <v>42</v>
      </c>
      <c r="E7" s="35" t="s">
        <v>109</v>
      </c>
      <c r="F7" s="36" t="s">
        <v>111</v>
      </c>
    </row>
    <row r="8" spans="2:6" ht="33.75" customHeight="1" thickBot="1">
      <c r="B8" s="39" t="s">
        <v>112</v>
      </c>
      <c r="C8" s="40" t="s">
        <v>113</v>
      </c>
      <c r="D8" s="41" t="s">
        <v>114</v>
      </c>
      <c r="E8" s="42" t="s">
        <v>115</v>
      </c>
      <c r="F8" s="4" t="s">
        <v>116</v>
      </c>
    </row>
    <row r="9" spans="2:6" ht="30" customHeight="1" thickBot="1">
      <c r="B9" s="32" t="s">
        <v>117</v>
      </c>
      <c r="C9" s="37">
        <v>4</v>
      </c>
      <c r="D9" s="43" t="s">
        <v>55</v>
      </c>
      <c r="E9" s="35" t="s">
        <v>118</v>
      </c>
      <c r="F9" s="36" t="s">
        <v>119</v>
      </c>
    </row>
    <row r="10" spans="2:6" ht="30" customHeight="1" thickBot="1">
      <c r="B10" s="32" t="s">
        <v>56</v>
      </c>
      <c r="C10" s="37">
        <v>5</v>
      </c>
      <c r="D10" s="43" t="s">
        <v>57</v>
      </c>
      <c r="E10" s="35" t="s">
        <v>118</v>
      </c>
      <c r="F10" s="36" t="s">
        <v>119</v>
      </c>
    </row>
    <row r="11" spans="2:6" ht="36.75" customHeight="1" thickBot="1">
      <c r="B11" s="39" t="s">
        <v>120</v>
      </c>
      <c r="C11" s="40" t="s">
        <v>7</v>
      </c>
      <c r="D11" s="44" t="s">
        <v>121</v>
      </c>
      <c r="E11" s="45" t="s">
        <v>109</v>
      </c>
      <c r="F11" s="4" t="s">
        <v>122</v>
      </c>
    </row>
    <row r="12" spans="2:6" ht="30.75" customHeight="1" thickBot="1">
      <c r="B12" s="32" t="s">
        <v>123</v>
      </c>
      <c r="C12" s="37">
        <v>7</v>
      </c>
      <c r="D12" s="43" t="s">
        <v>124</v>
      </c>
      <c r="E12" s="37" t="s">
        <v>125</v>
      </c>
      <c r="F12" s="36" t="s">
        <v>126</v>
      </c>
    </row>
    <row r="13" spans="2:6" ht="31.5" customHeight="1" thickBot="1">
      <c r="B13" s="32" t="s">
        <v>127</v>
      </c>
      <c r="C13" s="37">
        <v>8</v>
      </c>
      <c r="D13" s="43" t="s">
        <v>51</v>
      </c>
      <c r="E13" s="35" t="s">
        <v>118</v>
      </c>
      <c r="F13" s="36" t="s">
        <v>119</v>
      </c>
    </row>
    <row r="14" spans="2:6" ht="30" customHeight="1" thickBot="1">
      <c r="B14" s="32" t="s">
        <v>48</v>
      </c>
      <c r="C14" s="37">
        <v>9</v>
      </c>
      <c r="D14" s="46" t="s">
        <v>49</v>
      </c>
      <c r="E14" s="37" t="s">
        <v>109</v>
      </c>
      <c r="F14" s="47" t="s">
        <v>128</v>
      </c>
    </row>
    <row r="15" spans="2:6" ht="33.75" customHeight="1" thickBot="1">
      <c r="B15" s="32" t="s">
        <v>129</v>
      </c>
      <c r="C15" s="37">
        <v>10</v>
      </c>
      <c r="D15" s="48" t="s">
        <v>47</v>
      </c>
      <c r="E15" s="49" t="s">
        <v>130</v>
      </c>
      <c r="F15" s="36" t="s">
        <v>131</v>
      </c>
    </row>
    <row r="16" spans="2:6" ht="40.5" customHeight="1" thickBot="1">
      <c r="B16" s="39" t="s">
        <v>132</v>
      </c>
      <c r="C16" s="40" t="s">
        <v>8</v>
      </c>
      <c r="D16" s="41" t="s">
        <v>133</v>
      </c>
      <c r="E16" s="35" t="s">
        <v>130</v>
      </c>
      <c r="F16" s="36" t="s">
        <v>134</v>
      </c>
    </row>
    <row r="17" spans="2:6" ht="40.5" customHeight="1" thickBot="1">
      <c r="B17" s="39" t="s">
        <v>9</v>
      </c>
      <c r="C17" s="40">
        <v>12</v>
      </c>
      <c r="D17" s="41" t="s">
        <v>10</v>
      </c>
      <c r="E17" s="35" t="s">
        <v>118</v>
      </c>
      <c r="F17" s="36" t="s">
        <v>119</v>
      </c>
    </row>
    <row r="18" spans="2:6" ht="42.75" customHeight="1" thickBot="1">
      <c r="B18" s="39" t="s">
        <v>135</v>
      </c>
      <c r="C18" s="40" t="s">
        <v>11</v>
      </c>
      <c r="D18" s="50" t="s">
        <v>136</v>
      </c>
      <c r="E18" s="51" t="s">
        <v>137</v>
      </c>
      <c r="F18" s="52" t="s">
        <v>138</v>
      </c>
    </row>
    <row r="19" spans="2:6" ht="60" customHeight="1" thickBot="1">
      <c r="B19" s="32" t="s">
        <v>139</v>
      </c>
      <c r="C19" s="37">
        <v>14</v>
      </c>
      <c r="D19" s="43" t="s">
        <v>140</v>
      </c>
      <c r="E19" s="37" t="s">
        <v>141</v>
      </c>
      <c r="F19" s="47" t="s">
        <v>142</v>
      </c>
    </row>
    <row r="20" spans="2:6" ht="39.75" customHeight="1" thickBot="1">
      <c r="B20" s="39" t="s">
        <v>143</v>
      </c>
      <c r="C20" s="40" t="s">
        <v>12</v>
      </c>
      <c r="D20" s="41" t="s">
        <v>144</v>
      </c>
      <c r="E20" s="40" t="s">
        <v>145</v>
      </c>
      <c r="F20" s="52" t="s">
        <v>146</v>
      </c>
    </row>
    <row r="21" spans="2:6" ht="33.75" customHeight="1" thickBot="1">
      <c r="B21" s="32" t="s">
        <v>147</v>
      </c>
      <c r="C21" s="37">
        <v>16</v>
      </c>
      <c r="D21" s="46" t="s">
        <v>140</v>
      </c>
      <c r="E21" s="37" t="s">
        <v>148</v>
      </c>
      <c r="F21" s="47" t="s">
        <v>149</v>
      </c>
    </row>
    <row r="22" spans="2:6" ht="40.5" customHeight="1" thickBot="1">
      <c r="B22" s="53" t="s">
        <v>150</v>
      </c>
      <c r="C22" s="54" t="s">
        <v>13</v>
      </c>
      <c r="D22" s="20" t="s">
        <v>42</v>
      </c>
      <c r="E22" s="31" t="s">
        <v>151</v>
      </c>
      <c r="F22" s="11" t="s">
        <v>152</v>
      </c>
    </row>
    <row r="23" spans="2:6" ht="32.25" customHeight="1" thickBot="1">
      <c r="B23" s="55" t="s">
        <v>153</v>
      </c>
      <c r="C23" s="30" t="s">
        <v>14</v>
      </c>
      <c r="D23" s="56" t="s">
        <v>154</v>
      </c>
      <c r="E23" s="31" t="s">
        <v>151</v>
      </c>
      <c r="F23" s="11" t="s">
        <v>152</v>
      </c>
    </row>
    <row r="24" spans="2:6" ht="30" customHeight="1" thickBot="1">
      <c r="B24" s="53" t="s">
        <v>155</v>
      </c>
      <c r="C24" s="30" t="s">
        <v>15</v>
      </c>
      <c r="D24" s="56" t="s">
        <v>156</v>
      </c>
      <c r="E24" s="31" t="s">
        <v>151</v>
      </c>
      <c r="F24" s="11" t="s">
        <v>152</v>
      </c>
    </row>
  </sheetData>
  <mergeCells count="1">
    <mergeCell ref="B4:F4"/>
  </mergeCells>
  <hyperlinks>
    <hyperlink ref="A1" location="'Plan du fichier'!A1" display="'Plan du fichier'!A1"/>
  </hyperlinks>
  <printOptions/>
  <pageMargins left="0.75" right="0.75" top="1" bottom="1" header="0.4921259845" footer="0.4921259845"/>
  <pageSetup horizontalDpi="600" verticalDpi="600" orientation="portrait" paperSize="9" scale="5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F7" sqref="F7"/>
    </sheetView>
  </sheetViews>
  <sheetFormatPr defaultColWidth="11.421875" defaultRowHeight="12.75"/>
  <cols>
    <col min="1" max="1" width="11.421875" style="2" customWidth="1"/>
    <col min="2" max="2" width="47.28125" style="0" customWidth="1"/>
    <col min="3" max="3" width="13.421875" style="0" customWidth="1"/>
    <col min="4" max="4" width="7.57421875" style="0" customWidth="1"/>
  </cols>
  <sheetData>
    <row r="1" ht="12.75">
      <c r="A1" s="1" t="s">
        <v>37</v>
      </c>
    </row>
    <row r="2" ht="13.5" thickBot="1"/>
    <row r="3" spans="2:4" ht="54.75" customHeight="1" thickBot="1">
      <c r="B3" s="3" t="s">
        <v>16</v>
      </c>
      <c r="C3" s="3" t="s">
        <v>38</v>
      </c>
      <c r="D3" s="3">
        <v>2003</v>
      </c>
    </row>
    <row r="4" spans="2:4" ht="20.25" customHeight="1" thickBot="1">
      <c r="B4" s="4" t="s">
        <v>39</v>
      </c>
      <c r="C4" s="5" t="s">
        <v>40</v>
      </c>
      <c r="D4" s="6">
        <v>0.05</v>
      </c>
    </row>
    <row r="5" spans="2:4" ht="22.5" customHeight="1" thickBot="1">
      <c r="B5" s="4" t="s">
        <v>41</v>
      </c>
      <c r="C5" s="7" t="s">
        <v>42</v>
      </c>
      <c r="D5" s="6">
        <v>0.006</v>
      </c>
    </row>
    <row r="6" spans="2:4" ht="34.5" customHeight="1" thickBot="1">
      <c r="B6" s="4" t="s">
        <v>43</v>
      </c>
      <c r="C6" s="8" t="s">
        <v>44</v>
      </c>
      <c r="D6" s="6">
        <v>0.23931713179913777</v>
      </c>
    </row>
    <row r="7" spans="2:4" ht="34.5" customHeight="1" thickBot="1">
      <c r="B7" s="9" t="s">
        <v>45</v>
      </c>
      <c r="C7" s="10" t="s">
        <v>267</v>
      </c>
      <c r="D7" s="6">
        <v>0.006975599999999999</v>
      </c>
    </row>
    <row r="8" spans="2:4" ht="28.5" customHeight="1" thickBot="1">
      <c r="B8" s="11" t="s">
        <v>46</v>
      </c>
      <c r="C8" s="12" t="s">
        <v>47</v>
      </c>
      <c r="D8" s="13">
        <v>0</v>
      </c>
    </row>
    <row r="9" spans="2:4" ht="28.5" customHeight="1" thickBot="1">
      <c r="B9" s="11" t="s">
        <v>48</v>
      </c>
      <c r="C9" s="14" t="s">
        <v>49</v>
      </c>
      <c r="D9" s="13">
        <v>0.1</v>
      </c>
    </row>
    <row r="10" spans="2:4" ht="28.5" customHeight="1" thickBot="1">
      <c r="B10" s="4" t="s">
        <v>50</v>
      </c>
      <c r="C10" s="8" t="s">
        <v>51</v>
      </c>
      <c r="D10" s="15">
        <v>0.41659999999999997</v>
      </c>
    </row>
    <row r="11" spans="2:4" ht="28.5" customHeight="1" thickBot="1">
      <c r="B11" s="11" t="s">
        <v>52</v>
      </c>
      <c r="C11" s="16" t="s">
        <v>53</v>
      </c>
      <c r="D11" s="17">
        <v>0</v>
      </c>
    </row>
    <row r="12" spans="2:4" ht="27" customHeight="1" thickBot="1">
      <c r="B12" s="4" t="s">
        <v>54</v>
      </c>
      <c r="C12" s="8" t="s">
        <v>55</v>
      </c>
      <c r="D12" s="15">
        <v>0.41659999999999997</v>
      </c>
    </row>
    <row r="13" spans="2:4" ht="27" customHeight="1" thickBot="1">
      <c r="B13" s="9" t="s">
        <v>56</v>
      </c>
      <c r="C13" s="8" t="s">
        <v>57</v>
      </c>
      <c r="D13" s="15">
        <v>0.00696</v>
      </c>
    </row>
    <row r="14" spans="2:4" ht="39.75" customHeight="1" thickBot="1">
      <c r="B14" s="11" t="s">
        <v>58</v>
      </c>
      <c r="C14" s="18" t="s">
        <v>59</v>
      </c>
      <c r="D14" s="13">
        <v>0.04</v>
      </c>
    </row>
    <row r="15" spans="2:4" ht="38.25" customHeight="1" thickBot="1">
      <c r="B15" s="11" t="s">
        <v>60</v>
      </c>
      <c r="C15" s="18" t="s">
        <v>61</v>
      </c>
      <c r="D15" s="13">
        <v>0.3</v>
      </c>
    </row>
    <row r="16" spans="2:4" ht="33.75" customHeight="1" thickBot="1">
      <c r="B16" s="11" t="s">
        <v>62</v>
      </c>
      <c r="C16" s="14" t="s">
        <v>63</v>
      </c>
      <c r="D16" s="13">
        <v>0.0361</v>
      </c>
    </row>
    <row r="17" spans="2:4" ht="31.5" customHeight="1" thickBot="1">
      <c r="B17" s="11" t="s">
        <v>64</v>
      </c>
      <c r="C17" s="14" t="s">
        <v>65</v>
      </c>
      <c r="D17" s="13">
        <v>0.1225</v>
      </c>
    </row>
    <row r="18" spans="2:4" ht="24.75" customHeight="1" thickBot="1">
      <c r="B18" s="19" t="s">
        <v>66</v>
      </c>
      <c r="C18" s="20" t="s">
        <v>67</v>
      </c>
      <c r="D18" s="13">
        <v>0</v>
      </c>
    </row>
    <row r="19" spans="2:4" ht="34.5" customHeight="1" thickBot="1">
      <c r="B19" s="11" t="s">
        <v>68</v>
      </c>
      <c r="C19" s="20" t="s">
        <v>69</v>
      </c>
      <c r="D19" s="21">
        <v>25</v>
      </c>
    </row>
    <row r="20" spans="1:4" ht="37.5" customHeight="1" thickBot="1">
      <c r="A20" s="22"/>
      <c r="B20" s="11" t="s">
        <v>70</v>
      </c>
      <c r="C20" s="23" t="s">
        <v>71</v>
      </c>
      <c r="D20" s="13">
        <v>0.35</v>
      </c>
    </row>
    <row r="21" spans="1:4" ht="22.5" customHeight="1" thickBot="1">
      <c r="A21" s="22"/>
      <c r="B21" s="11" t="s">
        <v>72</v>
      </c>
      <c r="C21" s="23" t="s">
        <v>73</v>
      </c>
      <c r="D21" s="13">
        <v>0.55</v>
      </c>
    </row>
    <row r="22" spans="1:4" ht="22.5" customHeight="1" thickBot="1">
      <c r="A22" s="22"/>
      <c r="B22" s="11" t="s">
        <v>74</v>
      </c>
      <c r="C22" s="23" t="s">
        <v>75</v>
      </c>
      <c r="D22" s="13">
        <v>0.1</v>
      </c>
    </row>
    <row r="23" spans="1:4" ht="24" customHeight="1" thickBot="1">
      <c r="A23" s="24"/>
      <c r="B23" s="11" t="s">
        <v>76</v>
      </c>
      <c r="C23" s="23" t="s">
        <v>77</v>
      </c>
      <c r="D23" s="13">
        <v>0.5</v>
      </c>
    </row>
    <row r="24" spans="1:4" ht="28.5" customHeight="1" thickBot="1">
      <c r="A24" s="24"/>
      <c r="B24" s="11" t="s">
        <v>78</v>
      </c>
      <c r="C24" s="23" t="s">
        <v>79</v>
      </c>
      <c r="D24" s="13">
        <v>0.28</v>
      </c>
    </row>
    <row r="25" spans="1:4" ht="24" customHeight="1" thickBot="1">
      <c r="A25" s="24"/>
      <c r="B25" s="11" t="s">
        <v>80</v>
      </c>
      <c r="C25" s="23" t="s">
        <v>81</v>
      </c>
      <c r="D25" s="13">
        <v>0.22</v>
      </c>
    </row>
  </sheetData>
  <hyperlinks>
    <hyperlink ref="A1" location="'Plan du fichier'!A1" display="'Plan du fichier'!A1"/>
  </hyperlinks>
  <printOptions/>
  <pageMargins left="0.75" right="0.75" top="1" bottom="1" header="0.4921259845" footer="0.492125984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E27" sqref="E27"/>
    </sheetView>
  </sheetViews>
  <sheetFormatPr defaultColWidth="11.421875" defaultRowHeight="12.75"/>
  <cols>
    <col min="2" max="2" width="20.57421875" style="0" customWidth="1"/>
  </cols>
  <sheetData>
    <row r="1" ht="12.75">
      <c r="A1" s="1" t="s">
        <v>37</v>
      </c>
    </row>
    <row r="9" ht="13.5" thickBot="1"/>
    <row r="10" spans="2:4" ht="26.25" thickBot="1">
      <c r="B10" s="57" t="s">
        <v>157</v>
      </c>
      <c r="C10" s="51" t="s">
        <v>158</v>
      </c>
      <c r="D10" s="58">
        <v>2003</v>
      </c>
    </row>
    <row r="11" spans="2:4" ht="15.75" thickBot="1">
      <c r="B11" s="4" t="s">
        <v>39</v>
      </c>
      <c r="C11" s="59" t="s">
        <v>40</v>
      </c>
      <c r="D11" s="60">
        <f>2_BDD_Effectif_IF_IAN!D4</f>
        <v>0.05</v>
      </c>
    </row>
    <row r="12" spans="2:4" ht="16.5" thickBot="1">
      <c r="B12" s="4" t="s">
        <v>41</v>
      </c>
      <c r="C12" s="61" t="s">
        <v>42</v>
      </c>
      <c r="D12" s="60">
        <f>2_BDD_Effectif_IF_IAN!D5</f>
        <v>0.006</v>
      </c>
    </row>
    <row r="13" spans="2:4" ht="15.75" thickBot="1">
      <c r="B13" s="11" t="s">
        <v>112</v>
      </c>
      <c r="C13" s="62" t="s">
        <v>114</v>
      </c>
      <c r="D13" s="13">
        <f>(1+D11)*(1+D12)-1</f>
        <v>0.05630000000000002</v>
      </c>
    </row>
  </sheetData>
  <hyperlinks>
    <hyperlink ref="A1" location="'Plan du fichier'!A1" display="'Plan du fichier'!A1"/>
  </hyperlinks>
  <printOptions/>
  <pageMargins left="0.75" right="0.75" top="1" bottom="1" header="0.4921259845" footer="0.4921259845"/>
  <pageSetup orientation="portrait" paperSize="9"/>
  <legacyDrawing r:id="rId2"/>
  <oleObjects>
    <oleObject progId="Equation.3" shapeId="3281495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D21" sqref="D21"/>
    </sheetView>
  </sheetViews>
  <sheetFormatPr defaultColWidth="11.421875" defaultRowHeight="12.75"/>
  <cols>
    <col min="2" max="2" width="39.421875" style="0" customWidth="1"/>
    <col min="3" max="3" width="13.57421875" style="0" customWidth="1"/>
  </cols>
  <sheetData>
    <row r="1" ht="12.75">
      <c r="A1" s="1" t="s">
        <v>37</v>
      </c>
    </row>
    <row r="7" ht="13.5" thickBot="1"/>
    <row r="8" spans="2:4" ht="44.25" customHeight="1" thickBot="1">
      <c r="B8" s="57" t="s">
        <v>159</v>
      </c>
      <c r="C8" s="51" t="s">
        <v>158</v>
      </c>
      <c r="D8" s="58">
        <v>2003</v>
      </c>
    </row>
    <row r="9" spans="2:4" ht="15.75" thickBot="1">
      <c r="B9" s="4" t="s">
        <v>112</v>
      </c>
      <c r="C9" s="59" t="s">
        <v>114</v>
      </c>
      <c r="D9" s="60">
        <f>'3_Calcul de i'!D13</f>
        <v>0.05630000000000002</v>
      </c>
    </row>
    <row r="10" spans="2:4" ht="16.5" thickBot="1">
      <c r="B10" s="4" t="s">
        <v>41</v>
      </c>
      <c r="C10" s="63" t="s">
        <v>42</v>
      </c>
      <c r="D10" s="60">
        <f>2_BDD_Effectif_IF_IAN!D5</f>
        <v>0.006</v>
      </c>
    </row>
    <row r="11" spans="2:4" ht="15.75" thickBot="1">
      <c r="B11" s="4" t="s">
        <v>117</v>
      </c>
      <c r="C11" s="8" t="s">
        <v>160</v>
      </c>
      <c r="D11" s="60">
        <f>2_BDD_Effectif_IF_IAN!D12</f>
        <v>0.41659999999999997</v>
      </c>
    </row>
    <row r="12" spans="2:4" ht="17.25" customHeight="1" thickBot="1">
      <c r="B12" s="9" t="s">
        <v>56</v>
      </c>
      <c r="C12" s="8" t="s">
        <v>57</v>
      </c>
      <c r="D12" s="60">
        <f>2_BDD_Effectif_IF_IAN!D13</f>
        <v>0.00696</v>
      </c>
    </row>
    <row r="13" spans="2:4" ht="21.75" customHeight="1" thickBot="1">
      <c r="B13" s="11" t="s">
        <v>120</v>
      </c>
      <c r="C13" s="62" t="s">
        <v>121</v>
      </c>
      <c r="D13" s="64">
        <f>((1+D9*(1-D11)-D12)/(1+D10))-1</f>
        <v>0.019766819085487164</v>
      </c>
    </row>
  </sheetData>
  <hyperlinks>
    <hyperlink ref="A1" location="'Plan du fichier'!A1" display="'Plan du fichier'!A1"/>
  </hyperlinks>
  <printOptions/>
  <pageMargins left="0.75" right="0.75" top="1" bottom="1" header="0.4921259845" footer="0.4921259845"/>
  <pageSetup orientation="portrait" paperSize="9"/>
  <legacyDrawing r:id="rId2"/>
  <oleObjects>
    <oleObject progId="Equation.3" shapeId="181853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E22" sqref="E22"/>
    </sheetView>
  </sheetViews>
  <sheetFormatPr defaultColWidth="11.421875" defaultRowHeight="12.75"/>
  <cols>
    <col min="2" max="2" width="38.8515625" style="0" customWidth="1"/>
    <col min="3" max="3" width="16.421875" style="0" customWidth="1"/>
  </cols>
  <sheetData>
    <row r="1" ht="12.75">
      <c r="A1" s="1" t="s">
        <v>37</v>
      </c>
    </row>
    <row r="2" ht="13.5" thickBot="1"/>
    <row r="3" spans="2:4" ht="63" customHeight="1" thickBot="1">
      <c r="B3" s="57" t="s">
        <v>181</v>
      </c>
      <c r="C3" s="51" t="s">
        <v>158</v>
      </c>
      <c r="D3" s="58">
        <v>2003</v>
      </c>
    </row>
    <row r="4" spans="2:4" ht="15.75" thickBot="1">
      <c r="B4" s="4" t="s">
        <v>48</v>
      </c>
      <c r="C4" s="71" t="s">
        <v>49</v>
      </c>
      <c r="D4" s="60">
        <f>2_BDD_Effectif_IF_IAN!D9</f>
        <v>0.1</v>
      </c>
    </row>
    <row r="5" spans="2:4" ht="30" customHeight="1" thickBot="1">
      <c r="B5" s="4" t="s">
        <v>182</v>
      </c>
      <c r="C5" s="72" t="s">
        <v>47</v>
      </c>
      <c r="D5" s="60">
        <f>2_BDD_Effectif_IF_IAN!D8</f>
        <v>0</v>
      </c>
    </row>
    <row r="6" spans="2:4" ht="17.25" thickBot="1">
      <c r="B6" s="4" t="s">
        <v>117</v>
      </c>
      <c r="C6" s="59" t="s">
        <v>55</v>
      </c>
      <c r="D6" s="60">
        <f>2_BDD_Effectif_IF_IAN!D12</f>
        <v>0.41659999999999997</v>
      </c>
    </row>
    <row r="7" spans="2:4" ht="13.5" thickBot="1">
      <c r="B7" s="4" t="s">
        <v>112</v>
      </c>
      <c r="C7" s="73" t="s">
        <v>114</v>
      </c>
      <c r="D7" s="60">
        <f>'3_Calcul de i'!D13</f>
        <v>0.05630000000000002</v>
      </c>
    </row>
    <row r="8" spans="2:5" ht="13.5" thickBot="1">
      <c r="B8" s="4" t="s">
        <v>183</v>
      </c>
      <c r="C8" s="74" t="s">
        <v>184</v>
      </c>
      <c r="D8" s="60">
        <f>D7*(1-D6)</f>
        <v>0.032845420000000014</v>
      </c>
      <c r="E8" s="116"/>
    </row>
    <row r="9" spans="2:4" ht="26.25" thickBot="1">
      <c r="B9" s="11" t="s">
        <v>185</v>
      </c>
      <c r="C9" s="12" t="s">
        <v>133</v>
      </c>
      <c r="D9" s="13">
        <f>(D4*D5*(1+D8))/(D4+D8)</f>
        <v>0</v>
      </c>
    </row>
  </sheetData>
  <hyperlinks>
    <hyperlink ref="A1" location="'Plan du fichier'!A1" display="'Plan du fichier'!A1"/>
  </hyperlinks>
  <printOptions/>
  <pageMargins left="0.75" right="0.75" top="1" bottom="1" header="0.4921259845" footer="0.4921259845"/>
  <pageSetup orientation="portrait" paperSize="9"/>
  <legacyDrawing r:id="rId3"/>
  <oleObjects>
    <oleObject progId="Equation.2" shapeId="2181932" r:id="rId1"/>
    <oleObject progId="Equation.2" shapeId="2182647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C17" sqref="C17:D17"/>
    </sheetView>
  </sheetViews>
  <sheetFormatPr defaultColWidth="11.421875" defaultRowHeight="12.75"/>
  <cols>
    <col min="2" max="2" width="31.8515625" style="0" customWidth="1"/>
  </cols>
  <sheetData>
    <row r="1" ht="12.75">
      <c r="A1" s="1" t="s">
        <v>37</v>
      </c>
    </row>
    <row r="2" ht="13.5" thickBot="1"/>
    <row r="3" spans="2:4" ht="60" customHeight="1" thickBot="1">
      <c r="B3" s="57" t="s">
        <v>186</v>
      </c>
      <c r="C3" s="51" t="s">
        <v>158</v>
      </c>
      <c r="D3" s="58">
        <v>2003</v>
      </c>
    </row>
    <row r="4" spans="2:4" ht="15.75" thickBot="1">
      <c r="B4" s="4" t="s">
        <v>112</v>
      </c>
      <c r="C4" s="59" t="s">
        <v>114</v>
      </c>
      <c r="D4" s="60">
        <f>'3_Calcul de i'!D13</f>
        <v>0.05630000000000002</v>
      </c>
    </row>
    <row r="5" spans="2:4" ht="32.25" customHeight="1" thickBot="1">
      <c r="B5" s="4" t="s">
        <v>123</v>
      </c>
      <c r="C5" s="8" t="s">
        <v>124</v>
      </c>
      <c r="D5" s="60">
        <f>2_BDD_Effectif_IF_IAN!D6</f>
        <v>0.23931713179913777</v>
      </c>
    </row>
    <row r="6" spans="2:4" ht="46.5" customHeight="1" thickBot="1">
      <c r="B6" s="9" t="s">
        <v>187</v>
      </c>
      <c r="C6" s="10" t="s">
        <v>267</v>
      </c>
      <c r="D6" s="60">
        <f>2_BDD_Effectif_IF_IAN!D7</f>
        <v>0.006975599999999999</v>
      </c>
    </row>
    <row r="7" spans="2:4" ht="27.75" customHeight="1" thickBot="1">
      <c r="B7" s="11" t="s">
        <v>188</v>
      </c>
      <c r="C7" s="14" t="s">
        <v>189</v>
      </c>
      <c r="D7" s="13">
        <f>D4*(1-D5-D6)</f>
        <v>0.04243371919970856</v>
      </c>
    </row>
  </sheetData>
  <hyperlinks>
    <hyperlink ref="A1" location="'Plan du fichier'!A1" display="'Plan du fichier'!A1"/>
  </hyperlinks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Equation.2" shapeId="218418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estv-clb</dc:creator>
  <cp:keywords/>
  <dc:description/>
  <cp:lastModifiedBy>estv-clb</cp:lastModifiedBy>
  <cp:lastPrinted>2004-09-16T14:57:33Z</cp:lastPrinted>
  <dcterms:created xsi:type="dcterms:W3CDTF">2004-09-06T14:16:41Z</dcterms:created>
  <dcterms:modified xsi:type="dcterms:W3CDTF">2005-01-17T14:00:33Z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